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5" activeTab="10"/>
  </bookViews>
  <sheets>
    <sheet name="Orientações" sheetId="1" state="hidden" r:id="rId1"/>
    <sheet name="Servente" sheetId="2" state="hidden" r:id="rId2"/>
    <sheet name="Auxiliar Administrativo" sheetId="11" r:id="rId3"/>
    <sheet name="Copeiro (a)" sheetId="5" r:id="rId4"/>
    <sheet name="Portaria - Cabedelo" sheetId="6" r:id="rId5"/>
    <sheet name="Portaria - Lucena" sheetId="16" r:id="rId6"/>
    <sheet name="Motorista Intermunicipal" sheetId="7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<sst xmlns="http://schemas.openxmlformats.org/spreadsheetml/2006/main" count="1769" uniqueCount="322">
  <si>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</si>
  <si>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</si>
  <si>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</si>
  <si>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</si>
  <si>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</si>
  <si>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</si>
  <si>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</si>
  <si>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</si>
  <si>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</si>
  <si>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</si>
  <si>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</si>
  <si>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</si>
  <si>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</si>
  <si>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</si>
  <si>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</si>
  <si>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</si>
  <si>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</si>
  <si>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</si>
  <si>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</si>
  <si>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</si>
  <si>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</si>
  <si>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</si>
  <si>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</si>
  <si>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</si>
  <si>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</si>
  <si>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</si>
  <si>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</si>
  <si>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</si>
  <si>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</si>
  <si>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</si>
  <si>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</si>
  <si>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</si>
  <si>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</si>
  <si>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</si>
  <si>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</si>
  <si>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</si>
  <si>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</si>
  <si>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</si>
  <si>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</si>
  <si>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</si>
  <si>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</si>
  <si>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</si>
  <si>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</si>
  <si>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</si>
  <si>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</si>
  <si>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</si>
  <si>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</si>
  <si>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</si>
  <si>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</si>
  <si>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</si>
  <si>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</si>
  <si>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</si>
  <si>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</si>
  <si>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</si>
  <si>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</si>
  <si>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</si>
  <si>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</si>
  <si>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</si>
  <si>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</si>
  <si>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</si>
  <si>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</si>
  <si>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</si>
  <si>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</si>
  <si>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</si>
  <si>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</si>
  <si>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</si>
  <si>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</si>
  <si>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</si>
  <si>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</si>
  <si>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</si>
  <si>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</si>
  <si>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</si>
  <si>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</si>
  <si>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</si>
  <si>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</si>
  <si>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</si>
  <si>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</si>
  <si>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</si>
  <si>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</si>
  <si>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</si>
  <si>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</si>
  <si>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</si>
  <si>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</si>
  <si>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</si>
  <si>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</si>
  <si>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</si>
  <si>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</si>
  <si>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</si>
  <si>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</si>
  <si>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</si>
  <si>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</si>
  <si>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</si>
  <si>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</si>
  <si>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</si>
  <si>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</si>
  <si>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</si>
  <si>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</si>
  <si>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</si>
  <si>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</si>
  <si>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</si>
  <si>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</si>
  <si>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</si>
  <si>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</si>
  <si>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</si>
  <si>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</si>
  <si>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</si>
  <si>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</si>
  <si>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</si>
  <si>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</si>
  <si>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</si>
  <si>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</si>
  <si>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</si>
  <si>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</si>
  <si>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</si>
  <si>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</si>
  <si>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</si>
  <si>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</si>
  <si>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</si>
  <si>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</si>
  <si>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</si>
  <si>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</si>
  <si>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</si>
  <si>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</si>
  <si>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</si>
  <si>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</si>
  <si>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</si>
  <si>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</si>
  <si>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</si>
  <si>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</si>
  <si>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</si>
  <si>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</si>
  <si>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</si>
  <si>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</si>
  <si>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</si>
  <si>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</si>
  <si>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</si>
  <si>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</si>
  <si>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</si>
  <si>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</si>
  <si>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</si>
  <si>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</si>
  <si>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</si>
  <si>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</si>
  <si>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</si>
  <si>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</si>
  <si>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</si>
  <si>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</si>
  <si>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</si>
  <si>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</si>
  <si>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</si>
  <si>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</si>
  <si>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</si>
  <si>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</si>
  <si>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</si>
  <si>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</si>
  <si>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</si>
  <si>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</si>
  <si>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</si>
  <si>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</si>
  <si>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</si>
  <si>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</si>
  <si>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</si>
  <si>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</si>
  <si>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</si>
  <si>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</si>
  <si>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</si>
  <si>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</si>
  <si>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</si>
  <si>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</si>
  <si>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</si>
  <si>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</si>
  <si>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</si>
  <si>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</si>
  <si>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</si>
  <si>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</si>
  <si>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</si>
  <si>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</si>
  <si>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</si>
  <si>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</si>
  <si>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</si>
  <si>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</si>
  <si>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</si>
  <si>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</si>
  <si>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</si>
  <si>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</si>
  <si>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</si>
  <si>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</si>
  <si>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</si>
  <si>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</si>
  <si>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</si>
  <si>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</si>
  <si>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</si>
  <si>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</si>
  <si>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</si>
  <si>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Administrativo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</si>
  <si>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</si>
  <si>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</si>
  <si>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</si>
  <si>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</si>
  <si>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</si>
  <si>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</si>
  <si>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</si>
  <si>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</si>
  <si>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</si>
  <si>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</si>
  <si>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</si>
  <si>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</si>
  <si>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</si>
  <si>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</si>
  <si>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</si>
  <si>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</si>
  <si>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</si>
  <si>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</si>
  <si>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</si>
  <si>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</si>
  <si>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</si>
  <si>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</si>
  <si>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</si>
  <si>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</si>
  <si>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</si>
  <si>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</si>
  <si>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</si>
  <si>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</si>
  <si>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</si>
  <si>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</si>
  <si>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</si>
  <si>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</si>
  <si>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</si>
  <si>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</si>
  <si>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</si>
  <si>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</si>
  <si>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</si>
  <si>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</si>
  <si>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</si>
  <si>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</si>
  <si>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</si>
  <si>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</si>
  <si>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</si>
  <si>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</si>
  <si>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</si>
  <si>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</si>
  <si>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Intermunicipal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</si>
  <si>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</si>
  <si>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</si>
  <si>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</si>
  <si>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</si>
  <si>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</si>
  <si>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</si>
  <si>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</si>
  <si>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</si>
  <si>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</si>
  <si>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</si>
  <si>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</si>
  <si>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</si>
  <si>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</si>
  <si>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</si>
  <si>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</si>
  <si>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</si>
  <si>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</si>
  <si>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</si>
  <si>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</si>
  <si>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</si>
  <si>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</si>
  <si>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</si>
  <si>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</si>
  <si>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</si>
  <si>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</si>
  <si>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</si>
  <si>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</si>
  <si>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</si>
  <si>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</si>
  <si>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</si>
  <si>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</si>
  <si>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</si>
  <si>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</si>
  <si>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</si>
  <si>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</si>
  <si>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poliviscose.</t>
  </si>
  <si>
    <t>Unidade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</si>
  <si>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</si>
  <si>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</si>
  <si>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</si>
  <si>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</si>
  <si>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</si>
  <si>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</si>
  <si>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</si>
  <si>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</si>
  <si>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</si>
  <si>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</si>
  <si>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</si>
  <si>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</si>
  <si>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</si>
  <si>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ou Saia social, na cor preta, em tecido de poliviscose.</t>
  </si>
  <si>
    <t>BLAZER</t>
  </si>
  <si>
    <t>Blazer social de mangas longas, abotoamento frontal contendo a identificação da Contratada.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</si>
  <si>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</si>
  <si>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</si>
  <si>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</si>
  <si>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</si>
  <si>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</si>
  <si>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</si>
  <si>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</si>
  <si>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</si>
  <si>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</si>
  <si>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</si>
  <si>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</si>
  <si>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</si>
  <si>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</si>
  <si>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</si>
  <si>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</si>
  <si>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</si>
  <si>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</si>
  <si>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</si>
  <si>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</si>
  <si>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</si>
  <si>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ADMINISTRATIVO - CBO: 4110-10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</si>
  <si>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</si>
  <si>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</si>
  <si>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 xml:space="preserve">, em jornada de 12 (doze) horas diurnas, de segunda-feira a domingo, envolvendo 2 (dois) agentes de portarias, em turnos de 12 (doze) x 36 (trinta e seis) horas </t>
    </r>
    <r>
      <rPr>
        <b/>
        <sz val="11"/>
        <color theme="1"/>
        <rFont val="Calibri"/>
        <charset val="134"/>
        <scheme val="minor"/>
      </rPr>
      <t>- Muicípio de Cabedelo/PB.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</si>
  <si>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 xml:space="preserve">, em jornada de 12 (doze) horas diurnas, de segunda-feira a domingo, envolvendo 2 (dois) agentes de portarias, em turnos de 12 (doze) x 36 (trinta e seis) horas </t>
    </r>
    <r>
      <rPr>
        <b/>
        <sz val="11"/>
        <color theme="1"/>
        <rFont val="Calibri"/>
        <charset val="134"/>
        <scheme val="minor"/>
      </rPr>
      <t>- Muicípio de Lucena/PB.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</si>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</sst>
</file>

<file path=xl/styles.xml><?xml version="1.0" encoding="utf-8"?>
<styleSheet xmlns="http://schemas.openxmlformats.org/spreadsheetml/2006/main">
  <numFmts count="13">
    <numFmt numFmtId="176" formatCode="_-&quot;R$&quot;* #,##0_-;\-&quot;R$&quot;* #,##0_-;_-&quot;R$&quot;* &quot;-&quot;_-;_-@_-"/>
    <numFmt numFmtId="177" formatCode="_-* #,##0.00_-;\-* #,##0.00_-;_-* &quot;-&quot;??_-;_-@_-"/>
    <numFmt numFmtId="178" formatCode="_-* #,##0_-;\-* #,##0_-;_-* &quot;-&quot;_-;_-@_-"/>
    <numFmt numFmtId="179" formatCode="_-&quot;R$ &quot;* #,##0.00_-;&quot;-R$ &quot;* #,##0.00_-;_-&quot;R$ &quot;* \-??_-;_-@_-"/>
    <numFmt numFmtId="180" formatCode="&quot;R$&quot;\ #,##0.00_);[Red]\(&quot;R$&quot;\ #,##0.00\)"/>
    <numFmt numFmtId="181" formatCode="&quot;R$&quot;\ #,##0.00"/>
    <numFmt numFmtId="182" formatCode="&quot;R$&quot;#,##0.00_);[Red]\(&quot;R$&quot;#,##0.00\)"/>
    <numFmt numFmtId="183" formatCode="_-&quot;R$&quot;* #,##0.00_-;\-&quot;R$&quot;* #,##0.00_-;_-&quot;R$&quot;* &quot;-&quot;??_-;_-@_-"/>
    <numFmt numFmtId="184" formatCode="&quot;R$ &quot;#,##0.00"/>
    <numFmt numFmtId="185" formatCode="&quot;R$&quot;#,##0.00_);[Red]&quot;(R$&quot;#,##0.00\)"/>
    <numFmt numFmtId="186" formatCode="0.0000_ 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6" fontId="28" fillId="0" borderId="0" applyBorder="0" applyAlignment="0" applyProtection="0"/>
    <xf numFmtId="178" fontId="28" fillId="0" borderId="0" applyBorder="0" applyAlignment="0" applyProtection="0"/>
    <xf numFmtId="0" fontId="26" fillId="27" borderId="0" applyNumberFormat="0" applyBorder="0" applyAlignment="0" applyProtection="0">
      <alignment vertical="center"/>
    </xf>
    <xf numFmtId="9" fontId="0" fillId="0" borderId="0" applyBorder="0" applyProtection="0"/>
    <xf numFmtId="0" fontId="34" fillId="0" borderId="36" applyNumberFormat="0" applyFill="0" applyAlignment="0" applyProtection="0">
      <alignment vertical="center"/>
    </xf>
    <xf numFmtId="0" fontId="33" fillId="25" borderId="35" applyNumberFormat="0" applyAlignment="0" applyProtection="0">
      <alignment vertical="center"/>
    </xf>
    <xf numFmtId="177" fontId="28" fillId="0" borderId="0" applyBorder="0" applyAlignment="0" applyProtection="0"/>
    <xf numFmtId="0" fontId="26" fillId="30" borderId="0" applyNumberFormat="0" applyBorder="0" applyAlignment="0" applyProtection="0">
      <alignment vertical="center"/>
    </xf>
    <xf numFmtId="179" fontId="0" fillId="0" borderId="0" applyBorder="0" applyProtection="0"/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22" borderId="33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0" fillId="0" borderId="39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4" fillId="39" borderId="38" applyNumberFormat="0" applyAlignment="0" applyProtection="0">
      <alignment vertical="center"/>
    </xf>
    <xf numFmtId="0" fontId="29" fillId="23" borderId="34" applyNumberFormat="0" applyAlignment="0" applyProtection="0">
      <alignment vertical="center"/>
    </xf>
    <xf numFmtId="0" fontId="43" fillId="23" borderId="38" applyNumberFormat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</cellStyleXfs>
  <cellXfs count="20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1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1" fontId="3" fillId="0" borderId="0" xfId="0" applyNumberFormat="1" applyFont="1" applyFill="1" applyAlignment="1">
      <alignment horizontal="center" vertical="center" wrapText="1"/>
    </xf>
    <xf numFmtId="181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8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2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3" fontId="13" fillId="8" borderId="8" xfId="9" applyNumberFormat="1" applyFont="1" applyFill="1" applyBorder="1" applyAlignment="1">
      <alignment horizontal="center" vertical="center"/>
    </xf>
    <xf numFmtId="183" fontId="13" fillId="8" borderId="9" xfId="9" applyNumberFormat="1" applyFont="1" applyFill="1" applyBorder="1" applyAlignment="1">
      <alignment horizontal="center" vertical="center"/>
    </xf>
    <xf numFmtId="183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3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3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3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3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3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3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5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4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4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4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4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8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4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4" fontId="20" fillId="0" borderId="0" xfId="0" applyNumberFormat="1" applyFont="1" applyAlignment="1">
      <alignment horizontal="center"/>
    </xf>
    <xf numFmtId="184" fontId="21" fillId="18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8" fillId="18" borderId="0" xfId="0" applyNumberFormat="1" applyFont="1" applyFill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/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4" fontId="19" fillId="15" borderId="0" xfId="0" applyNumberFormat="1" applyFont="1" applyFill="1" applyAlignment="1">
      <alignment horizontal="center"/>
    </xf>
    <xf numFmtId="0" fontId="23" fillId="0" borderId="0" xfId="0" applyFont="1"/>
    <xf numFmtId="180" fontId="0" fillId="0" borderId="0" xfId="0" applyNumberFormat="1" applyAlignment="1">
      <alignment horizontal="center" vertical="center"/>
    </xf>
    <xf numFmtId="185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4" fontId="19" fillId="15" borderId="0" xfId="0" applyNumberFormat="1" applyFont="1" applyFill="1" applyAlignment="1">
      <alignment horizontal="center" wrapText="1"/>
    </xf>
    <xf numFmtId="185" fontId="0" fillId="18" borderId="0" xfId="0" applyNumberFormat="1" applyFill="1" applyAlignment="1">
      <alignment horizontal="center" vertical="center"/>
    </xf>
    <xf numFmtId="180" fontId="0" fillId="18" borderId="0" xfId="0" applyNumberFormat="1" applyFill="1" applyAlignment="1">
      <alignment horizontal="center" vertical="center"/>
    </xf>
    <xf numFmtId="180" fontId="0" fillId="8" borderId="0" xfId="0" applyNumberFormat="1" applyFill="1" applyAlignment="1">
      <alignment horizontal="center" vertical="center"/>
    </xf>
    <xf numFmtId="184" fontId="20" fillId="0" borderId="0" xfId="0" applyNumberFormat="1" applyFont="1" applyAlignment="1">
      <alignment vertical="center" wrapText="1"/>
    </xf>
    <xf numFmtId="184" fontId="20" fillId="0" borderId="0" xfId="0" applyNumberFormat="1" applyFont="1" applyAlignment="1">
      <alignment horizontal="center" wrapText="1"/>
    </xf>
    <xf numFmtId="184" fontId="0" fillId="8" borderId="0" xfId="0" applyNumberFormat="1" applyFill="1" applyAlignment="1">
      <alignment horizontal="center" vertical="center"/>
    </xf>
    <xf numFmtId="182" fontId="0" fillId="18" borderId="0" xfId="0" applyNumberFormat="1" applyFill="1" applyAlignment="1">
      <alignment horizontal="center"/>
    </xf>
    <xf numFmtId="184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9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88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86"/>
    <tableColumn id="2" name="Custos Indiretos, Tributos e Lucro" dataDxfId="87"/>
    <tableColumn id="3" name="Percentual" dataDxfId="88"/>
    <tableColumn id="4" name="Valor" totalsRowFunction="custom">
      <totalsRowFormula>SUM(D129:D131)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90"/>
    <tableColumn id="2" name="Descrição" dataDxfId="91"/>
    <tableColumn id="3" name="Comentário" dataDxfId="92"/>
    <tableColumn id="4" name="Valor" dataDxfId="93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98"/>
    <tableColumn id="2" name="Mão de obra vinculada à execução contratual" dataDxfId="99"/>
    <tableColumn id="3" name="-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02"/>
    <tableColumn id="2" name="Composição da Remuneração" dataDxfId="103"/>
    <tableColumn id="3" name="Comentário" dataDxfId="104"/>
    <tableColumn id="4" name="Valor" totalsRowFunction="custom">
      <totalsRowFormula>TRUNC((SUM(D25:D30)),2)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06"/>
    <tableColumn id="2" name="Substituto nas Ausências Legais" dataDxfId="107"/>
    <tableColumn id="3" name="Percentual" totalsRowFunction="custom">
      <totalsRowFormula>SUM(C92:C97)</totalsRowFormula>
       dataDxfId="108"
    </tableColumn>
    <tableColumn id="4" name="Valor" totalsRowFunction="custom">
      <totalsRowFormula>TRUNC((SUM(D92:D97)),2)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14"/>
    <tableColumn id="2" name="Benefícios Mensais e Diários" dataDxfId="115"/>
    <tableColumn id="3" name="Comentário" dataDxfId="116"/>
    <tableColumn id="4" name="Valor" totalsRowFunction="custom">
      <totalsRowFormula>TRUNC((SUM(D59:D64)),2)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18"/>
    <tableColumn id="2" name="Encargos e Benefícios Anuais, Mensais e Diários" dataDxfId="119"/>
    <tableColumn id="3" name="Comentário" dataDxfId="120"/>
    <tableColumn id="4" name="Valor" totalsRowFunction="custom">
      <totalsRowFormula>TRUNC((SUM(D69:D71)),2)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22"/>
    <tableColumn id="2" name="GPS, FGTS e outras contribuições" dataDxfId="123"/>
    <tableColumn id="3" name="Percentual" totalsRowFunction="custom">
      <totalsRowFormula>SUM(C47:C54)</totalsRowFormula>
       dataDxfId="124"
    </tableColumn>
    <tableColumn id="4" name="Valor " totalsRowFunction="custom">
      <totalsRowFormula>TRUNC((SUM(D47:D54)),2)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26"/>
    <tableColumn id="2" name="Custo de Reposição do Profissional Ausente" dataDxfId="127"/>
    <tableColumn id="3" name="Comentário" totalsRowLabel="*Nota: Se o titular USUFRUIR do descanso intrajornada, o total é o somatório dos subitens 4.1 e 4.2" dataDxfId="128"/>
    <tableColumn id="4" name="Valor" totalsRowFunction="custom">
      <totalsRowFormula>TRUNC((SUM(D107:D108)),2)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30"/>
    <tableColumn id="2" name="Insumos Diversos" dataDxfId="131"/>
    <tableColumn id="3" name="Comentário" dataDxfId="132"/>
    <tableColumn id="4" name="Valor" totalsRowFunction="sum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34"/>
    <tableColumn id="2" name="Composição da Remuneração" dataDxfId="135"/>
    <tableColumn id="3" name="Comentário" dataDxfId="136"/>
    <tableColumn id="4" name="Valor" totalsRowFunction="custom">
      <totalsRowFormula>TRUNC(SUM(D25:D30),2)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5" totalsRowCount="1">
  <autoFilter ref="A58:D64"/>
  <tableColumns count="4">
    <tableColumn id="1" name="2.3" totalsRowLabel="Total" dataDxfId="138"/>
    <tableColumn id="2" name="Benefícios Mensais e Diários" dataDxfId="139"/>
    <tableColumn id="3" name="Comentário" dataDxfId="140"/>
    <tableColumn id="4" name="Valor" totalsRowFunction="custom">
      <totalsRowFormula>TRUNC((SUM(D59:D64)),2)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1:D98" totalsRowCount="1">
  <autoFilter ref="A91:D97"/>
  <tableColumns count="4">
    <tableColumn id="1" name="4.1" totalsRowLabel="Total" dataDxfId="142"/>
    <tableColumn id="2" name="Substituto nas Ausências Legais" dataDxfId="143"/>
    <tableColumn id="3" name="Percentual" totalsRowFunction="custom">
      <totalsRowFormula>SUM(C92:C97)</totalsRowFormula>
       dataDxfId="144"
    </tableColumn>
    <tableColumn id="4" name="Valor" totalsRowFunction="custom">
      <totalsRowFormula>TRUNC((SUM(D92:D97)),2)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50"/>
    <tableColumn id="2" name="Descrição" dataDxfId="151"/>
    <tableColumn id="3" name="Comentário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5:D82" totalsRowCount="1">
  <autoFilter ref="A75:D81"/>
  <tableColumns count="4">
    <tableColumn id="1" name="3" totalsRowLabel="Total" dataDxfId="154"/>
    <tableColumn id="2" name="Provisão para Rescisão" dataDxfId="155"/>
    <tableColumn id="3" name="Percentual" totalsRowFunction="custom">
      <totalsRowFormula>SUM(C76:C81)</totalsRowFormula>
       dataDxfId="156"
    </tableColumn>
    <tableColumn id="4" name="Valor" totalsRowFunction="custom">
      <totalsRowFormula>TRUNC((SUM(D76:D81)),2)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2:D118" totalsRowCount="1">
  <autoFilter ref="A112:D117"/>
  <tableColumns count="4">
    <tableColumn id="1" name="5" totalsRowLabel="Total" dataDxfId="158"/>
    <tableColumn id="2" name="Insumos Diversos" dataDxfId="159"/>
    <tableColumn id="3" name="Comentário" dataDxfId="160"/>
    <tableColumn id="4" name="Valor" totalsRowFunction="sum" dataDxfId="161"/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8:D135" totalsRowCount="1">
  <tableColumns count="4">
    <tableColumn id="1" name="6" totalsRowLabel="Total" dataDxfId="162"/>
    <tableColumn id="2" name="Custos Indiretos, Tributos e Lucro" dataDxfId="163"/>
    <tableColumn id="3" name="Percentual" dataDxfId="164"/>
    <tableColumn id="4" name="Valor" totalsRowFunction="custom">
      <totalsRowFormula>TRUNC(SUM(D129:D131),2)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8:D72" totalsRowCount="1">
  <autoFilter ref="A68:D71"/>
  <tableColumns count="4">
    <tableColumn id="1" name="2" totalsRowLabel="Total" dataDxfId="166"/>
    <tableColumn id="2" name="Encargos e Benefícios Anuais, Mensais e Diários" dataDxfId="167"/>
    <tableColumn id="3" name="Comentário" dataDxfId="168"/>
    <tableColumn id="4" name="Valor" totalsRowFunction="custom">
      <totalsRowFormula>TRUNC((SUM(D69:D71)),2)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70"/>
    <tableColumn id="2" name="13º (décimo terceiro) Salário, Férias e Adicional de Férias" dataDxfId="171"/>
    <tableColumn id="3" name="Percentual" dataDxfId="172"/>
    <tableColumn id="4" name="Valor" totalsRowFunction="custom">
      <totalsRowFormula>TRUNC((SUM(D37:D38)),2)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6:D109" totalsRowCount="1">
  <autoFilter ref="A106:D108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TRUNC((SUM(D107:D108)),2)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78"/>
    <tableColumn id="2" name="GPS, FGTS e outras contribuições" dataDxfId="179"/>
    <tableColumn id="3" name="Percentual" totalsRowFunction="custom">
      <totalsRowFormula>SUM(C47:C54)</totalsRowFormula>
       dataDxfId="180"
    </tableColumn>
    <tableColumn id="4" name="Valor " totalsRowFunction="custom">
      <totalsRowFormula>TRUNC((SUM(D47:D54)),2)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86"/>
    <tableColumn id="2" name="Composição da Remuneração" dataDxfId="187"/>
    <tableColumn id="3" name="Comentário" dataDxfId="188"/>
    <tableColumn id="4" name="Valor" totalsRowFunction="custom">
      <totalsRowFormula>TRUNC((SUM(D25:D30)),2)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190"/>
    <tableColumn id="2" name="Benefícios Mensais e Diários" dataDxfId="191"/>
    <tableColumn id="3" name="Comentário" dataDxfId="192"/>
    <tableColumn id="4" name="Valor" totalsRowFunction="custom">
      <totalsRowFormula>TRUNC((SUM(D59:D64)),2)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194"/>
    <tableColumn id="2" name="Substituto nas Ausências Legais" dataDxfId="195"/>
    <tableColumn id="3" name="Percentual" totalsRowFunction="custom">
      <totalsRowFormula>SUM(C92:C97)</totalsRowFormula>
       dataDxfId="196"
    </tableColumn>
    <tableColumn id="4" name="Valor" totalsRowFunction="custom">
      <totalsRowFormula>TRUNC((SUM(D92:D97)),2)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198"/>
    <tableColumn id="2" name="Substituto na Intrajornada " dataDxfId="199"/>
    <tableColumn id="3" name="Comentário" dataDxfId="200"/>
    <tableColumn id="4" name="Valor" totalsRowFunction="custom">
      <totalsRowFormula>D102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202"/>
    <tableColumn id="2" name="Descrição" dataDxfId="203"/>
    <tableColumn id="3" name="Comentário" dataDxfId="204"/>
    <tableColumn id="4" name="Valor" dataDxfId="20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206"/>
    <tableColumn id="2" name="Provisão para Rescisão" dataDxfId="207"/>
    <tableColumn id="3" name="Percentual" totalsRowFunction="custom">
      <totalsRowFormula>SUM(C76:C81)</totalsRowFormula>
       dataDxfId="208"
    </tableColumn>
    <tableColumn id="4" name="Valor" totalsRowFunction="custom">
      <totalsRowFormula>TRUNC((SUM(D76:D81)),2)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210"/>
    <tableColumn id="2" name="Insumos Diversos" dataDxfId="211"/>
    <tableColumn id="3" name="Comentário" dataDxfId="212"/>
    <tableColumn id="4" name="Valor" totalsRowFunction="custom">
      <totalsRowFormula>TRUNC(SUM(D113:D117),2)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214"/>
    <tableColumn id="2" name="Custos Indiretos, Tributos e Lucro" dataDxfId="215"/>
    <tableColumn id="3" name="Percentual" dataDxfId="216"/>
    <tableColumn id="4" name="Valor" totalsRowFunction="custom">
      <totalsRowFormula>TRUNC(SUM(D129:D131),2)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218"/>
    <tableColumn id="2" name="Encargos e Benefícios Anuais, Mensais e Diários" dataDxfId="219"/>
    <tableColumn id="3" name="Comentário" dataDxfId="220"/>
    <tableColumn id="4" name="Valor" totalsRowFunction="custom">
      <totalsRowFormula>TRUNC((SUM(D69:D71)),2)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222"/>
    <tableColumn id="2" name="13º (décimo terceiro) Salário, Férias e Adicional de Férias" dataDxfId="223"/>
    <tableColumn id="3" name="Percentual" dataDxfId="224"/>
    <tableColumn id="4" name="Valor" totalsRowFunction="custom">
      <totalsRowFormula>TRUNC((SUM(D37:D38)),2)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230"/>
    <tableColumn id="2" name="GPS, FGTS e outras contribuições" dataDxfId="231"/>
    <tableColumn id="3" name="Percentual" totalsRowFunction="custom">
      <totalsRowFormula>SUM(C47:C54)</totalsRowFormula>
       dataDxfId="232"
    </tableColumn>
    <tableColumn id="4" name="Valor " totalsRowFunction="custom">
      <totalsRowFormula>TRUNC((SUM(D47:D54)),2)</totalsRowFormula>
       dataDxfId="233"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Submódulo4.159_5465" displayName="Submódulo4.159_5465" ref="A91:D98" totalsRowCount="1">
  <autoFilter ref="A91:D97"/>
  <tableColumns count="4">
    <tableColumn id="1" name="4.1" totalsRowLabel="Total" dataDxfId="238"/>
    <tableColumn id="2" name="Substituto nas Ausências Legais" dataDxfId="239"/>
    <tableColumn id="3" name="Percentual" totalsRowFunction="custom">
      <totalsRowFormula>SUM(C92:C97)</totalsRowFormula>
       dataDxfId="240"
    </tableColumn>
    <tableColumn id="4" name="Valor" totalsRowFunction="custom">
      <totalsRowFormula>TRUNC((SUM(D92:D97)),2)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5" name="Submódulo2.356_5366" displayName="Submódulo2.356_5366" ref="A58:D65" totalsRowCount="1">
  <autoFilter ref="A58:D64"/>
  <tableColumns count="4">
    <tableColumn id="1" name="2.3" totalsRowLabel="Total" dataDxfId="242"/>
    <tableColumn id="2" name="Benefícios Mensais e Diários" dataDxfId="243"/>
    <tableColumn id="3" name="Comentário" dataDxfId="244"/>
    <tableColumn id="4" name="Valor" totalsRowFunction="custom">
      <totalsRowFormula>TRUNC((SUM(D59:D64)),2)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Módulo153_5267" displayName="Módulo153_5267" ref="A24:D31" totalsRowCount="1">
  <autoFilter ref="A24:D30"/>
  <tableColumns count="4">
    <tableColumn id="1" name="1" totalsRowLabel="Total" dataDxfId="246"/>
    <tableColumn id="2" name="Composição da Remuneração" dataDxfId="247"/>
    <tableColumn id="3" name="Comentário" dataDxfId="248"/>
    <tableColumn id="4" name="Valor" totalsRowFunction="custom">
      <totalsRowFormula>TRUNC((SUM(D25:D30)),2)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67" name="Submódulo2.154_6168" displayName="Submódulo2.154_6168" ref="A36:D39" totalsRowCount="1">
  <autoFilter ref="A36:D38"/>
  <tableColumns count="4">
    <tableColumn id="1" name="2.1" totalsRowLabel="Total" dataDxfId="250"/>
    <tableColumn id="2" name="13º (décimo terceiro) Salário, Férias e Adicional de Férias" dataDxfId="251"/>
    <tableColumn id="3" name="Percentual" dataDxfId="252"/>
    <tableColumn id="4" name="Valor" totalsRowFunction="custom">
      <totalsRowFormula>TRUNC((SUM(D37:D38)),2)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68" name="ResumoMódulo461_6269" displayName="ResumoMódulo461_6269" ref="A106:D109" totalsRowCount="1">
  <autoFilter ref="A106:D108"/>
  <tableColumns count="4">
    <tableColumn id="1" name="4" totalsRowLabel="Total" dataDxfId="254"/>
    <tableColumn id="2" name="Custo de Reposição do Profissional Ausente" dataDxfId="255"/>
    <tableColumn id="3" name="Comentário" totalsRowLabel="*Nota: Se o titular USUFRUIR do descanso intrajornada, o total é o somatório dos subitens 4.1 e 4.2" dataDxfId="256"/>
    <tableColumn id="4" name="Valor" totalsRowFunction="custom">
      <totalsRowFormula>TRUNC((SUM(D107:D108)),2)</totalsRowFormula>
       dataDxfId="257"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69" name="Submódulo2.255_6370" displayName="Submódulo2.255_6370" ref="A46:D55" totalsRowCount="1">
  <autoFilter ref="A46:D54"/>
  <tableColumns count="4">
    <tableColumn id="1" name="2.2" totalsRowLabel="Total" dataDxfId="258"/>
    <tableColumn id="2" name="GPS, FGTS e outras contribuições" dataDxfId="259"/>
    <tableColumn id="3" name="Percentual" totalsRowFunction="custom">
      <totalsRowFormula>SUM(C47:C54)</totalsRowFormula>
       dataDxfId="260"
    </tableColumn>
    <tableColumn id="4" name="Valor " totalsRowFunction="custom">
      <totalsRowFormula>TRUNC((SUM(D47:D54)),2)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70" name="ResumoPosto64_6471" displayName="ResumoPosto64_6471" ref="A139:D148" totalsRowShown="0">
  <autoFilter ref="A139:D148"/>
  <tableColumns count="4">
    <tableColumn id="1" name="Item" dataDxfId="262"/>
    <tableColumn id="2" name="Mão de obra vinculada à execução contratual" dataDxfId="263"/>
    <tableColumn id="3" name="-" dataDxfId="264"/>
    <tableColumn id="4" name="Valor" dataDxfId="265"/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71" name="Table452_5672" displayName="Table452_5672" ref="A16:D21" totalsRowShown="0">
  <tableColumns count="4">
    <tableColumn id="1" name="Item" dataDxfId="266"/>
    <tableColumn id="2" name="Descrição" dataDxfId="267"/>
    <tableColumn id="3" name="Comentário" dataDxfId="268"/>
    <tableColumn id="4" name="Valor" dataDxfId="269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72" name="Submódulo4.260_5573" displayName="Submódulo4.260_5573" ref="A101:D103" totalsRowCount="1">
  <autoFilter ref="A101:D102"/>
  <tableColumns count="4">
    <tableColumn id="1" name="4.2" totalsRowLabel="Total" dataDxfId="270"/>
    <tableColumn id="2" name="Substituto na Intrajornada " dataDxfId="271"/>
    <tableColumn id="3" name="Comentário" dataDxfId="272"/>
    <tableColumn id="4" name="Valor" totalsRowFunction="custom">
      <totalsRowFormula>D102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73" name="Módulo562_5874" displayName="Módulo562_5874" ref="A112:D118" totalsRowCount="1">
  <autoFilter ref="A112:D117"/>
  <tableColumns count="4">
    <tableColumn id="1" name="5" totalsRowLabel="Total" dataDxfId="274"/>
    <tableColumn id="2" name="Insumos Diversos" dataDxfId="275"/>
    <tableColumn id="3" name="Comentário" dataDxfId="276"/>
    <tableColumn id="4" name="Valor" totalsRowFunction="custom">
      <totalsRowFormula>TRUNC(SUM(D113:D117),2)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74" name="ResumoMódulo257_6075" displayName="ResumoMódulo257_6075" ref="A68:D72" totalsRowCount="1">
  <autoFilter ref="A68:D71"/>
  <tableColumns count="4">
    <tableColumn id="1" name="2" totalsRowLabel="Total" dataDxfId="278"/>
    <tableColumn id="2" name="Encargos e Benefícios Anuais, Mensais e Diários" dataDxfId="279"/>
    <tableColumn id="3" name="Comentário" dataDxfId="280"/>
    <tableColumn id="4" name="Valor" totalsRowFunction="custom">
      <totalsRowFormula>TRUNC((SUM(D69:D71)),2)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75" name="Módulo663_5976" displayName="Módulo663_5976" ref="A128:D135" totalsRowCount="1">
  <tableColumns count="4">
    <tableColumn id="1" name="6" totalsRowLabel="Total" dataDxfId="282"/>
    <tableColumn id="2" name="Custos Indiretos, Tributos e Lucro" dataDxfId="283"/>
    <tableColumn id="3" name="Percentual" dataDxfId="284"/>
    <tableColumn id="4" name="Valor" totalsRowFunction="custom">
      <totalsRowFormula>TRUNC(SUM(D129:D131),2)</totalsRowFormula>
       dataDxfId="285"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76" name="Módulo358_5777" displayName="Módulo358_5777" ref="A75:D82" totalsRowCount="1">
  <autoFilter ref="A75:D81"/>
  <tableColumns count="4">
    <tableColumn id="1" name="3" totalsRowLabel="Total" dataDxfId="286"/>
    <tableColumn id="2" name="Provisão para Rescisão" dataDxfId="287"/>
    <tableColumn id="3" name="Percentual" totalsRowFunction="custom">
      <totalsRowFormula>SUM(C76:C81)</totalsRowFormula>
       dataDxfId="288"
    </tableColumn>
    <tableColumn id="4" name="Valor" totalsRowFunction="custom">
      <totalsRowFormula>TRUNC((SUM(D76:D81)),2)</totalsRowFormula>
       dataDxfId="289"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290"/>
    <tableColumn id="2" name="Mão de obra vinculada à execução contratual" dataDxfId="291"/>
    <tableColumn id="3" name="-" dataDxfId="292"/>
    <tableColumn id="4" name="Valor" dataDxfId="293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294"/>
    <tableColumn id="2" name="13º (décimo terceiro) Salário, Férias e Adicional de Férias" dataDxfId="295"/>
    <tableColumn id="3" name="Percentual" dataDxfId="296"/>
    <tableColumn id="4" name="Valor" totalsRowFunction="custom">
      <totalsRowFormula>TRUNC((SUM(D37:D38)),2)</totalsRowFormula>
       dataDxfId="297"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298"/>
    <tableColumn id="2" name="Custo de Reposição do Profissional Ausente" dataDxfId="299"/>
    <tableColumn id="3" name="Comentário" totalsRowLabel="*Nota: Se o titular USUFRUIR do descanso intrajornada, o total é o somatório dos subitens 4.1 e 4.2" dataDxfId="300"/>
    <tableColumn id="4" name="Valor" totalsRowFunction="custom">
      <totalsRowFormula>TRUNC((SUM(D107:D108)),2)</totalsRowFormula>
       dataDxfId="301"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302"/>
    <tableColumn id="2" name="GPS, FGTS e outras contribuições" dataDxfId="303"/>
    <tableColumn id="3" name="Percentual" totalsRowFunction="custom">
      <totalsRowFormula>SUM(C47:C54)</totalsRowFormula>
       dataDxfId="304"
    </tableColumn>
    <tableColumn id="4" name="Valor " totalsRowFunction="custom">
      <totalsRowFormula>TRUNC((SUM(D47:D54)),2)</totalsRowFormula>
       dataDxfId="305"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306"/>
    <tableColumn id="2" name="Substituto nas Ausências Legais" dataDxfId="307"/>
    <tableColumn id="3" name="Percentual" totalsRowFunction="custom">
      <totalsRowFormula>SUM(C92:C97)</totalsRowFormula>
       dataDxfId="308"
    </tableColumn>
    <tableColumn id="4" name="Valor" totalsRowFunction="custom">
      <totalsRowFormula>TRUNC((SUM(D92:D97)),2)</totalsRowFormula>
       dataDxfId="309"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310"/>
    <tableColumn id="2" name="Substituto na Intrajornada " dataDxfId="311"/>
    <tableColumn id="3" name="Comentário" dataDxfId="312"/>
    <tableColumn id="4" name="Valor" totalsRowFunction="custom">
      <totalsRowFormula>D102</totalsRowFormula>
       dataDxfId="313"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314"/>
    <tableColumn id="2" name="Descrição" dataDxfId="315"/>
    <tableColumn id="3" name="Comentário" dataDxfId="316"/>
    <tableColumn id="4" name="Valor" dataDxfId="317"/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318"/>
    <tableColumn id="2" name="Insumos Diversos" dataDxfId="319"/>
    <tableColumn id="3" name="Comentário" dataDxfId="320"/>
    <tableColumn id="4" name="Valor" totalsRowFunction="sum" dataDxfId="321"/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322"/>
    <tableColumn id="2" name="Provisão para Rescisão" dataDxfId="323"/>
    <tableColumn id="3" name="Percentual" totalsRowFunction="custom">
      <totalsRowFormula>SUM(C76:C81)</totalsRowFormula>
       dataDxfId="324"
    </tableColumn>
    <tableColumn id="4" name="Valor" totalsRowFunction="custom">
      <totalsRowFormula>TRUNC((SUM(D76:D81)),2)</totalsRowFormula>
       dataDxfId="325"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326"/>
    <tableColumn id="2" name="Composição da Remuneração" dataDxfId="327"/>
    <tableColumn id="3" name="Comentário" dataDxfId="328"/>
    <tableColumn id="4" name="Valor" totalsRowFunction="custom">
      <totalsRowFormula>TRUNC(SUM(D25:D30),2)</totalsRowFormula>
       dataDxfId="329"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330"/>
    <tableColumn id="2" name="Encargos e Benefícios Anuais, Mensais e Diários" dataDxfId="331"/>
    <tableColumn id="3" name="Comentário" dataDxfId="332"/>
    <tableColumn id="4" name="Valor" totalsRowFunction="custom">
      <totalsRowFormula>TRUNC(SUM(D69:D71),2)</totalsRowFormula>
       dataDxfId="333"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334"/>
    <tableColumn id="2" name="Benefícios Mensais e Diários" dataDxfId="335"/>
    <tableColumn id="3" name="Comentário" dataDxfId="336"/>
    <tableColumn id="4" name="Valor" totalsRowFunction="custom">
      <totalsRowFormula>TRUNC((SUM(D59:D64)),2)</totalsRowFormula>
       dataDxfId="337"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338"/>
    <tableColumn id="2" name="Custos Indiretos, Tributos e Lucro" dataDxfId="339"/>
    <tableColumn id="3" name="Percentual" dataDxfId="340"/>
    <tableColumn id="4" name="Valor" totalsRowFunction="custom">
      <totalsRowFormula>TRUNC(SUM(D129:D131),2)</totalsRowFormula>
       dataDxfId="341"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Table43_143" displayName="Table43_143" ref="A3:H10">
  <autoFilter ref="A3:H10"/>
  <tableColumns count="8">
    <tableColumn id="1" name="ITEM" totalsRowLabel="Total" dataDxfId="342"/>
    <tableColumn id="2" name="PEÇA" dataDxfId="343"/>
    <tableColumn id="3" name="DESCRIÇÃO" dataDxfId="344"/>
    <tableColumn id="4" name="UNIDADE" dataDxfId="345"/>
    <tableColumn id="5" name="VALOR MÉDIO UNITÁRIO (R$)" dataDxfId="346"/>
    <tableColumn id="6" name="QUANTIDADE ANUAL" dataDxfId="347"/>
    <tableColumn id="7" name="VALOR ANUAL POR EMPREGADO (R$)" dataDxfId="348"/>
    <tableColumn id="8" name="VALOR MENSAL POR EMPREGADO (R$)" totalsRowFunction="sum" dataDxfId="349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Table43_14365" displayName="Table43_14365" ref="A16:H23">
  <autoFilter ref="A16:H23"/>
  <tableColumns count="8">
    <tableColumn id="1" name="ITEM" totalsRowLabel="Total" dataDxfId="350"/>
    <tableColumn id="2" name="PEÇA" dataDxfId="351"/>
    <tableColumn id="3" name="DESCRIÇÃO" dataDxfId="352"/>
    <tableColumn id="4" name="UNIDADE" dataDxfId="353"/>
    <tableColumn id="5" name="VALOR MÉDIO UNITÁRIO (R$)" dataDxfId="354"/>
    <tableColumn id="6" name="QUANTIDADE ANUAL" dataDxfId="355"/>
    <tableColumn id="7" name="VALOR ANUAL POR EMPREGADO (R$)" dataDxfId="356"/>
    <tableColumn id="8" name="VALOR MENSAL POR EMPREGADO (R$)" totalsRowFunction="sum" dataDxfId="357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Table43_1436566" displayName="Table43_1436566" ref="A29:H36">
  <autoFilter ref="A29:H36"/>
  <tableColumns count="8">
    <tableColumn id="1" name="ITEM" totalsRowLabel="Total" dataDxfId="358"/>
    <tableColumn id="2" name="PEÇA" dataDxfId="359"/>
    <tableColumn id="3" name="DESCRIÇÃO" dataDxfId="360"/>
    <tableColumn id="4" name="UNIDADE" dataDxfId="361"/>
    <tableColumn id="5" name="VALOR MÉDIO UNITÁRIO (R$)" dataDxfId="362"/>
    <tableColumn id="6" name="QUANTIDADE ANUAL" dataDxfId="363"/>
    <tableColumn id="7" name="VALOR ANUAL POR EMPREGADO (R$)" dataDxfId="364"/>
    <tableColumn id="8" name="VALOR MENSAL POR EMPREGADO (R$)" totalsRowFunction="sum" dataDxfId="365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Table43_143656667" displayName="Table43_143656667" ref="A42:H49">
  <autoFilter ref="A42:H49"/>
  <tableColumns count="8">
    <tableColumn id="1" name="ITEM" totalsRowLabel="Total" dataDxfId="366"/>
    <tableColumn id="2" name="PEÇA" dataDxfId="367"/>
    <tableColumn id="3" name="DESCRIÇÃO" dataDxfId="368"/>
    <tableColumn id="4" name="UNIDADE" dataDxfId="369"/>
    <tableColumn id="5" name="VALOR MÉDIO UNITÁRIO (R$)" dataDxfId="370"/>
    <tableColumn id="6" name="QUANTIDADE ANUAL" dataDxfId="371"/>
    <tableColumn id="7" name="VALOR ANUAL POR EMPREGADO (R$)" dataDxfId="372"/>
    <tableColumn id="8" name="VALOR MENSAL POR EMPREGADO (R$)" totalsRowFunction="sum" dataDxfId="373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374"/>
    <tableColumn id="2" name="Peça" dataDxfId="375"/>
    <tableColumn id="3" name="Descrição" dataDxfId="376"/>
    <tableColumn id="4" name="Valor Médio Unitário (R$)" dataDxfId="377"/>
    <tableColumn id="5" name="Quantidade Anual" dataDxfId="378"/>
    <tableColumn id="6" name="Valor Anual/ Empregado (R$)" dataDxfId="379"/>
    <tableColumn id="7" name="Valor Mensal/ Empregado" totalsRowFunction="sum" dataDxfId="380"/>
  </tableColumns>
  <tableStyleInfo name="TableStyleMedium14" showFirstColumn="0" showLastColumn="0" showRowStripes="1" showColumnStripes="0"/>
</table>
</file>

<file path=xl/tables/table93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381"/>
    <tableColumn id="2" name="Descrição" dataDxfId="382"/>
    <tableColumn id="7" name="Unidade" dataDxfId="383"/>
    <tableColumn id="3" name="Quantidade" dataDxfId="384"/>
    <tableColumn id="6" name="VIGÊNCIA" dataDxfId="385"/>
    <tableColumn id="4" name="VALOR UNITÁRIO MÁXIMO ACEITÁVEL" dataDxfId="386"/>
    <tableColumn id="5" name="VALOR TOTAL MÁXIMO ACEITÁVEL" totalsRowFunction="custom">
      <totalsRowFormula>SUM(G3:G8)</totalsRowFormula>
       dataDxfId="387"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201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ht="57" customHeight="1" spans="1:11">
      <c r="A2" s="202" t="s">
        <v>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ht="51" customHeight="1" spans="1:11">
      <c r="A3" s="202" t="s">
        <v>2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ht="54.75" customHeight="1" spans="1:11">
      <c r="A4" s="202" t="s">
        <v>3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</row>
    <row r="5" ht="67.5" customHeight="1" spans="1:11">
      <c r="A5" s="203" t="s">
        <v>4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</row>
    <row r="6" ht="84.75" customHeight="1" spans="1:11">
      <c r="A6" s="203" t="s">
        <v>5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</row>
    <row r="7" ht="49.5" customHeight="1" spans="1:11">
      <c r="A7" s="203" t="s">
        <v>6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ht="38.25" customHeight="1" spans="1:11">
      <c r="A8" s="203" t="s">
        <v>7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</row>
    <row r="9" ht="39.75" customHeight="1" spans="1:11">
      <c r="A9" s="202" t="s">
        <v>8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ht="41.25" customHeight="1" spans="1:11">
      <c r="A10" s="202" t="s">
        <v>9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</row>
    <row r="11" ht="41.25" customHeight="1" spans="1:11">
      <c r="A11" s="204" t="s">
        <v>10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</row>
    <row r="12" spans="1:11">
      <c r="A12" s="205" t="s">
        <v>11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</row>
    <row r="13" spans="1:11">
      <c r="A13" s="206" t="s">
        <v>12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</row>
    <row r="14" spans="1:11">
      <c r="A14" s="206" t="s">
        <v>13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opLeftCell="A2" workbookViewId="0">
      <selection activeCell="D11" sqref="D11"/>
    </sheetView>
  </sheetViews>
  <sheetFormatPr defaultColWidth="8.88888888888889" defaultRowHeight="14.4" outlineLevelRow="5" outlineLevelCol="6"/>
  <cols>
    <col min="2" max="2" width="20.6666666666667" customWidth="1"/>
    <col min="3" max="3" width="27" customWidth="1"/>
    <col min="4" max="4" width="10.5555555555556" customWidth="1"/>
    <col min="5" max="5" width="11.2222222222222" customWidth="1"/>
    <col min="6" max="6" width="12.7777777777778" customWidth="1"/>
    <col min="7" max="7" width="12.5555555555556" customWidth="1"/>
  </cols>
  <sheetData>
    <row r="1" spans="1:7">
      <c r="A1" s="11" t="s">
        <v>156</v>
      </c>
      <c r="B1" s="11"/>
      <c r="C1" s="11" t="s">
        <v>156</v>
      </c>
      <c r="D1" s="11"/>
      <c r="E1" s="11"/>
      <c r="F1" s="11"/>
      <c r="G1" s="11"/>
    </row>
    <row r="2" ht="57.6" spans="1:7">
      <c r="A2" s="4" t="s">
        <v>16</v>
      </c>
      <c r="B2" s="4" t="s">
        <v>299</v>
      </c>
      <c r="C2" s="4" t="s">
        <v>17</v>
      </c>
      <c r="D2" s="4" t="s">
        <v>300</v>
      </c>
      <c r="E2" s="4" t="s">
        <v>301</v>
      </c>
      <c r="F2" s="4" t="s">
        <v>302</v>
      </c>
      <c r="G2" s="4" t="s">
        <v>303</v>
      </c>
    </row>
    <row r="3" ht="57.6" spans="1:7">
      <c r="A3" s="12">
        <v>1</v>
      </c>
      <c r="B3" s="12" t="s">
        <v>304</v>
      </c>
      <c r="C3" s="13" t="s">
        <v>305</v>
      </c>
      <c r="D3" s="14">
        <v>64.34</v>
      </c>
      <c r="E3" s="15">
        <v>1</v>
      </c>
      <c r="F3" s="16">
        <f>Table43_2[[#This Row],[Quantidade Anual]]*Table43_2[[#This Row],[Valor Médio Unitário (R$)]]/2</f>
        <v>32.17</v>
      </c>
      <c r="G3" s="16">
        <f>Table43_2[[#This Row],[Valor Anual/ Empregado (R$)]]/12</f>
        <v>2.68083333333333</v>
      </c>
    </row>
    <row r="4" ht="86.4" spans="1:7">
      <c r="A4" s="12">
        <v>2</v>
      </c>
      <c r="B4" s="12" t="s">
        <v>306</v>
      </c>
      <c r="C4" s="13" t="s">
        <v>307</v>
      </c>
      <c r="D4" s="17">
        <v>1.44</v>
      </c>
      <c r="E4" s="15">
        <v>4</v>
      </c>
      <c r="F4" s="16">
        <f>Table43_2[[#This Row],[Quantidade Anual]]*Table43_2[[#This Row],[Valor Médio Unitário (R$)]]/2</f>
        <v>2.88</v>
      </c>
      <c r="G4" s="16">
        <f>Table43_2[[#This Row],[Valor Anual/ Empregado (R$)]]/12</f>
        <v>0.24</v>
      </c>
    </row>
    <row r="5" ht="57.6" spans="1:7">
      <c r="A5" s="12">
        <v>3</v>
      </c>
      <c r="B5" s="18" t="s">
        <v>308</v>
      </c>
      <c r="C5" s="13" t="s">
        <v>309</v>
      </c>
      <c r="D5" s="17">
        <v>43.9</v>
      </c>
      <c r="E5" s="15">
        <v>1</v>
      </c>
      <c r="F5" s="16">
        <f>Table43_2[[#This Row],[Quantidade Anual]]*Table43_2[[#This Row],[Valor Médio Unitário (R$)]]/2</f>
        <v>21.95</v>
      </c>
      <c r="G5" s="16">
        <f>Table43_2[[#This Row],[Valor Anual/ Empregado (R$)]]/12</f>
        <v>1.82916666666667</v>
      </c>
    </row>
    <row r="6" spans="1:7">
      <c r="A6" s="5" t="s">
        <v>58</v>
      </c>
      <c r="B6" s="5"/>
      <c r="C6" s="5"/>
      <c r="D6" s="5"/>
      <c r="E6" s="5"/>
      <c r="F6" s="5"/>
      <c r="G6" s="19">
        <f>SUBTOTAL(109,Table43_2[Valor Mensal/ Empregado])</f>
        <v>4.75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5" workbookViewId="0">
      <selection activeCell="I10" sqref="I10"/>
    </sheetView>
  </sheetViews>
  <sheetFormatPr defaultColWidth="8.88888888888889" defaultRowHeight="14.4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310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278</v>
      </c>
      <c r="D2" s="4" t="s">
        <v>311</v>
      </c>
      <c r="E2" s="4" t="s">
        <v>312</v>
      </c>
      <c r="F2" s="4" t="s">
        <v>313</v>
      </c>
      <c r="G2" s="4" t="s">
        <v>314</v>
      </c>
    </row>
    <row r="3" ht="86.4" spans="1:7">
      <c r="A3" s="5">
        <v>1</v>
      </c>
      <c r="B3" s="6" t="s">
        <v>315</v>
      </c>
      <c r="C3" s="4" t="s">
        <v>316</v>
      </c>
      <c r="D3" s="5">
        <v>2</v>
      </c>
      <c r="E3" s="5">
        <v>12</v>
      </c>
      <c r="F3" s="7">
        <f>'Auxiliar Administrativo'!D147</f>
        <v>3268.12</v>
      </c>
      <c r="G3" s="7">
        <f>(D3*F3)*(E3)</f>
        <v>78434.88</v>
      </c>
    </row>
    <row r="4" ht="72" spans="1:7">
      <c r="A4" s="5">
        <v>2</v>
      </c>
      <c r="B4" s="6" t="s">
        <v>317</v>
      </c>
      <c r="C4" s="4" t="s">
        <v>316</v>
      </c>
      <c r="D4" s="5">
        <v>1</v>
      </c>
      <c r="E4" s="5">
        <v>12</v>
      </c>
      <c r="F4" s="7">
        <f>'Copeiro (a)'!D147</f>
        <v>2997.34</v>
      </c>
      <c r="G4" s="7">
        <f>(D4*F4)*(E4)</f>
        <v>35968.08</v>
      </c>
    </row>
    <row r="5" ht="129.6" spans="1:7">
      <c r="A5" s="5">
        <v>3</v>
      </c>
      <c r="B5" s="6" t="s">
        <v>318</v>
      </c>
      <c r="C5" s="4" t="s">
        <v>316</v>
      </c>
      <c r="D5" s="5">
        <v>1</v>
      </c>
      <c r="E5" s="5">
        <v>12</v>
      </c>
      <c r="F5" s="7">
        <f>'Portaria - Cabedelo'!D148</f>
        <v>6189.28</v>
      </c>
      <c r="G5" s="7">
        <f>(D5*F5)*(E5)</f>
        <v>74271.36</v>
      </c>
    </row>
    <row r="6" ht="129.6" spans="1:7">
      <c r="A6" s="5">
        <v>4</v>
      </c>
      <c r="B6" s="6" t="s">
        <v>319</v>
      </c>
      <c r="C6" s="4" t="s">
        <v>316</v>
      </c>
      <c r="D6" s="5">
        <v>1</v>
      </c>
      <c r="E6" s="5">
        <v>12</v>
      </c>
      <c r="F6" s="7">
        <f>'Portaria - Lucena'!D148</f>
        <v>6159.52</v>
      </c>
      <c r="G6" s="7">
        <f>(D6*F6)*(E6)</f>
        <v>73914.24</v>
      </c>
    </row>
    <row r="7" ht="86.4" spans="1:7">
      <c r="A7" s="5">
        <v>5</v>
      </c>
      <c r="B7" s="6" t="s">
        <v>320</v>
      </c>
      <c r="C7" s="4" t="s">
        <v>316</v>
      </c>
      <c r="D7" s="5">
        <v>1</v>
      </c>
      <c r="E7" s="5">
        <v>12</v>
      </c>
      <c r="F7" s="7">
        <f>'Motorista Intermunicipal'!D147</f>
        <v>5535.53</v>
      </c>
      <c r="G7" s="7">
        <f>(D7*F7)*(E7)</f>
        <v>66426.36</v>
      </c>
    </row>
    <row r="8" spans="1:7">
      <c r="A8" s="5">
        <v>6</v>
      </c>
      <c r="B8" s="6" t="s">
        <v>321</v>
      </c>
      <c r="C8" s="4" t="s">
        <v>316</v>
      </c>
      <c r="D8" s="5">
        <v>84</v>
      </c>
      <c r="E8" s="5">
        <v>12</v>
      </c>
      <c r="F8" s="7">
        <f>Diárias!E19</f>
        <v>190.08</v>
      </c>
      <c r="G8" s="7">
        <f>(D8*F8)</f>
        <v>15966.72</v>
      </c>
    </row>
    <row r="9" spans="1:7">
      <c r="A9" s="8" t="s">
        <v>204</v>
      </c>
      <c r="B9" s="8"/>
      <c r="C9" s="8"/>
      <c r="D9" s="8"/>
      <c r="E9" s="8"/>
      <c r="F9" s="8"/>
      <c r="G9" s="9">
        <f>SUM(G3:G8)</f>
        <v>344981.64</v>
      </c>
    </row>
    <row r="10" spans="1:7">
      <c r="A10" s="10"/>
      <c r="B10" s="10"/>
      <c r="C10" s="10"/>
      <c r="D10" s="10"/>
      <c r="E10" s="10"/>
      <c r="F10" s="10"/>
      <c r="G10" s="10"/>
    </row>
    <row r="11" spans="1:7">
      <c r="A11" s="8"/>
      <c r="B11" s="8"/>
      <c r="C11" s="8"/>
      <c r="D11" s="8"/>
      <c r="E11" s="8"/>
      <c r="F11" s="8"/>
      <c r="G11" s="8"/>
    </row>
    <row r="12" spans="1:7">
      <c r="A12" s="8"/>
      <c r="B12" s="8"/>
      <c r="C12" s="8"/>
      <c r="D12" s="8"/>
      <c r="E12" s="8"/>
      <c r="F12" s="8"/>
      <c r="G12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87" t="s">
        <v>14</v>
      </c>
      <c r="B1" s="187"/>
      <c r="C1" s="187"/>
      <c r="D1" s="187"/>
      <c r="F1" s="122" t="s">
        <v>15</v>
      </c>
      <c r="G1" s="122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21">
      <c r="A2" s="123" t="s">
        <v>16</v>
      </c>
      <c r="B2" t="s">
        <v>17</v>
      </c>
      <c r="C2" s="123" t="s">
        <v>18</v>
      </c>
      <c r="D2" s="123" t="s">
        <v>19</v>
      </c>
      <c r="F2" s="128" t="s">
        <v>17</v>
      </c>
      <c r="G2" s="128" t="s">
        <v>19</v>
      </c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1">
      <c r="A3" s="123">
        <v>1</v>
      </c>
      <c r="B3" t="s">
        <v>20</v>
      </c>
      <c r="C3" s="123"/>
      <c r="D3" s="123" t="s">
        <v>21</v>
      </c>
      <c r="F3" t="s">
        <v>22</v>
      </c>
      <c r="G3" s="188">
        <v>0</v>
      </c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</row>
    <row r="4" spans="1:21">
      <c r="A4" s="123">
        <v>2</v>
      </c>
      <c r="B4" t="s">
        <v>23</v>
      </c>
      <c r="C4" s="123"/>
      <c r="D4" s="123" t="s">
        <v>24</v>
      </c>
      <c r="F4" t="s">
        <v>25</v>
      </c>
      <c r="G4" s="188">
        <v>12</v>
      </c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</row>
    <row r="5" spans="1:21">
      <c r="A5" s="123">
        <v>3</v>
      </c>
      <c r="B5" t="s">
        <v>26</v>
      </c>
      <c r="C5" s="123" t="s">
        <v>27</v>
      </c>
      <c r="D5" s="189">
        <v>998</v>
      </c>
      <c r="F5" t="s">
        <v>28</v>
      </c>
      <c r="G5" s="124">
        <v>22</v>
      </c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</row>
    <row r="6" spans="1:21">
      <c r="A6" s="123">
        <v>4</v>
      </c>
      <c r="B6" t="s">
        <v>29</v>
      </c>
      <c r="C6" s="123" t="s">
        <v>30</v>
      </c>
      <c r="D6" s="123" t="s">
        <v>31</v>
      </c>
      <c r="F6" t="s">
        <v>32</v>
      </c>
      <c r="G6" s="190">
        <v>0.03</v>
      </c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>
      <c r="A7" s="123">
        <v>5</v>
      </c>
      <c r="B7" t="s">
        <v>33</v>
      </c>
      <c r="C7" s="123"/>
      <c r="D7" s="123" t="s">
        <v>34</v>
      </c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</row>
    <row r="8" spans="6:21">
      <c r="F8" s="122" t="s">
        <v>35</v>
      </c>
      <c r="G8" s="122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>
      <c r="A9" s="106" t="s">
        <v>36</v>
      </c>
      <c r="B9" s="106"/>
      <c r="C9" s="106"/>
      <c r="D9" s="106"/>
      <c r="F9" s="128" t="s">
        <v>37</v>
      </c>
      <c r="G9" s="128" t="s">
        <v>38</v>
      </c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>
      <c r="A10" s="123" t="s">
        <v>39</v>
      </c>
      <c r="B10" s="128" t="s">
        <v>40</v>
      </c>
      <c r="C10" s="123" t="s">
        <v>18</v>
      </c>
      <c r="D10" s="123" t="s">
        <v>19</v>
      </c>
      <c r="F10" t="s">
        <v>41</v>
      </c>
      <c r="G10" s="129">
        <v>0.4337</v>
      </c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</row>
    <row r="11" spans="1:21">
      <c r="A11" s="123" t="s">
        <v>42</v>
      </c>
      <c r="B11" t="s">
        <v>43</v>
      </c>
      <c r="C11" s="123"/>
      <c r="D11" s="130">
        <f>Salário_Normativo_da_Categoria_Profissional</f>
        <v>998</v>
      </c>
      <c r="F11" t="s">
        <v>44</v>
      </c>
      <c r="G11" s="129">
        <v>0.4337</v>
      </c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1">
      <c r="A12" s="123" t="s">
        <v>45</v>
      </c>
      <c r="B12" t="s">
        <v>46</v>
      </c>
      <c r="C12" s="123"/>
      <c r="D12" s="130"/>
      <c r="F12" t="s">
        <v>47</v>
      </c>
      <c r="G12" s="129">
        <v>0.0218</v>
      </c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>
      <c r="A13" s="123" t="s">
        <v>48</v>
      </c>
      <c r="B13" t="s">
        <v>49</v>
      </c>
      <c r="C13" s="123"/>
      <c r="D13" s="130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</row>
    <row r="14" spans="1:21">
      <c r="A14" s="123" t="s">
        <v>50</v>
      </c>
      <c r="B14" t="s">
        <v>51</v>
      </c>
      <c r="C14" s="123"/>
      <c r="D14" s="130"/>
      <c r="F14" s="122" t="s">
        <v>52</v>
      </c>
      <c r="G14" s="122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</row>
    <row r="15" spans="1:21">
      <c r="A15" s="123" t="s">
        <v>53</v>
      </c>
      <c r="B15" t="s">
        <v>54</v>
      </c>
      <c r="C15" s="123"/>
      <c r="D15" s="130"/>
      <c r="F15" s="191" t="s">
        <v>17</v>
      </c>
      <c r="G15" s="191" t="s">
        <v>38</v>
      </c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>
      <c r="A16" s="123" t="s">
        <v>55</v>
      </c>
      <c r="B16" t="s">
        <v>56</v>
      </c>
      <c r="C16" s="123"/>
      <c r="D16" s="130"/>
      <c r="F16" s="133" t="s">
        <v>57</v>
      </c>
      <c r="G16" s="192">
        <v>0.0471</v>
      </c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</row>
    <row r="17" spans="1:21">
      <c r="A17" s="123" t="s">
        <v>58</v>
      </c>
      <c r="C17" s="123"/>
      <c r="D17" s="130">
        <f>SUBTOTAL(109,Módulo1[Valor])</f>
        <v>998</v>
      </c>
      <c r="F17" s="133" t="s">
        <v>59</v>
      </c>
      <c r="G17" s="192">
        <v>0.0467</v>
      </c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</row>
    <row r="18" spans="6:21">
      <c r="F18" s="133" t="s">
        <v>60</v>
      </c>
      <c r="G18" s="193">
        <v>0.0165</v>
      </c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</row>
    <row r="19" spans="1:21">
      <c r="A19" s="131" t="s">
        <v>61</v>
      </c>
      <c r="B19" s="131"/>
      <c r="C19" s="131"/>
      <c r="D19" s="131"/>
      <c r="F19" s="133" t="s">
        <v>62</v>
      </c>
      <c r="G19" s="193">
        <v>0.076</v>
      </c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</row>
    <row r="20" spans="1:21">
      <c r="A20" s="122" t="s">
        <v>63</v>
      </c>
      <c r="B20" s="122"/>
      <c r="C20" s="122"/>
      <c r="D20" s="122"/>
      <c r="F20" s="133" t="s">
        <v>64</v>
      </c>
      <c r="G20" s="193">
        <v>0.05</v>
      </c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</row>
    <row r="21" spans="1:21">
      <c r="A21" s="123" t="s">
        <v>65</v>
      </c>
      <c r="B21" s="128" t="s">
        <v>66</v>
      </c>
      <c r="C21" s="123" t="s">
        <v>18</v>
      </c>
      <c r="D21" s="123" t="s">
        <v>19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</row>
    <row r="22" spans="1:21">
      <c r="A22" s="123" t="s">
        <v>42</v>
      </c>
      <c r="B22" t="s">
        <v>67</v>
      </c>
      <c r="D22" s="130">
        <f>Módulo1[[#Totals],[Valor]]/12</f>
        <v>83.1666666666667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</row>
    <row r="23" spans="1:21">
      <c r="A23" s="123" t="s">
        <v>45</v>
      </c>
      <c r="B23" t="s">
        <v>68</v>
      </c>
      <c r="D23" s="130">
        <f>(Módulo1[[#Totals],[Valor]]/12)*(1+(1/3))</f>
        <v>110.888888888889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</row>
    <row r="24" spans="1:21">
      <c r="A24" s="123" t="s">
        <v>58</v>
      </c>
      <c r="D24" s="130">
        <f>SUBTOTAL(109,Submódulo2.1[Valor])</f>
        <v>194.055555555556</v>
      </c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</row>
    <row r="25" spans="1:21">
      <c r="A25" s="123"/>
      <c r="D25" s="130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</row>
    <row r="26" spans="1:21">
      <c r="A26" s="194" t="s">
        <v>69</v>
      </c>
      <c r="B26" s="194"/>
      <c r="C26" s="194"/>
      <c r="D26" s="194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</row>
    <row r="27" spans="1:21">
      <c r="A27" s="194" t="s">
        <v>16</v>
      </c>
      <c r="B27" s="194" t="s">
        <v>70</v>
      </c>
      <c r="C27" s="194" t="s">
        <v>71</v>
      </c>
      <c r="D27" s="195" t="s">
        <v>72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</row>
    <row r="28" ht="28.8" spans="1:21">
      <c r="A28" s="142" t="s">
        <v>42</v>
      </c>
      <c r="B28" s="196" t="s">
        <v>73</v>
      </c>
      <c r="C28" s="197" t="s">
        <v>74</v>
      </c>
      <c r="D28" s="196" t="s">
        <v>75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</row>
    <row r="29" ht="28.8" spans="1:21">
      <c r="A29" s="142" t="s">
        <v>45</v>
      </c>
      <c r="B29" s="198" t="s">
        <v>68</v>
      </c>
      <c r="C29" s="197" t="s">
        <v>74</v>
      </c>
      <c r="D29" s="196" t="s">
        <v>76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</row>
    <row r="30" spans="1:21">
      <c r="A30" s="123"/>
      <c r="B30" s="123"/>
      <c r="C30" s="15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</row>
    <row r="31" spans="1:4">
      <c r="A31" s="122" t="s">
        <v>77</v>
      </c>
      <c r="B31" s="122"/>
      <c r="C31" s="122"/>
      <c r="D31" s="122"/>
    </row>
    <row r="32" spans="1:4">
      <c r="A32" s="123" t="s">
        <v>78</v>
      </c>
      <c r="B32" s="128" t="s">
        <v>79</v>
      </c>
      <c r="C32" s="123" t="s">
        <v>38</v>
      </c>
      <c r="D32" s="123" t="s">
        <v>80</v>
      </c>
    </row>
    <row r="33" spans="1:4">
      <c r="A33" s="123" t="s">
        <v>42</v>
      </c>
      <c r="B33" t="s">
        <v>81</v>
      </c>
      <c r="C33" s="132">
        <v>0.2</v>
      </c>
      <c r="D33" s="130">
        <f>C33*(Módulo1[[#Totals],[Valor]]+Submódulo2.1[[#Totals],[Valor]])</f>
        <v>238.411111111111</v>
      </c>
    </row>
    <row r="34" spans="1:4">
      <c r="A34" s="123" t="s">
        <v>45</v>
      </c>
      <c r="B34" t="s">
        <v>82</v>
      </c>
      <c r="C34" s="132">
        <v>0.025</v>
      </c>
      <c r="D34" s="130">
        <f>C34*(Módulo1[[#Totals],[Valor]]+Submódulo2.1[[#Totals],[Valor]])</f>
        <v>29.8013888888889</v>
      </c>
    </row>
    <row r="35" spans="1:4">
      <c r="A35" s="123" t="s">
        <v>48</v>
      </c>
      <c r="B35" t="s">
        <v>83</v>
      </c>
      <c r="C35" s="132">
        <f>Servente!G6</f>
        <v>0.03</v>
      </c>
      <c r="D35" s="130">
        <f>C35*(Módulo1[[#Totals],[Valor]]+Submódulo2.1[[#Totals],[Valor]])</f>
        <v>35.7616666666667</v>
      </c>
    </row>
    <row r="36" spans="1:4">
      <c r="A36" s="123" t="s">
        <v>50</v>
      </c>
      <c r="B36" t="s">
        <v>84</v>
      </c>
      <c r="C36" s="132">
        <v>0.015</v>
      </c>
      <c r="D36" s="130">
        <f>C36*(Módulo1[[#Totals],[Valor]]+Submódulo2.1[[#Totals],[Valor]])</f>
        <v>17.8808333333333</v>
      </c>
    </row>
    <row r="37" spans="1:4">
      <c r="A37" s="123" t="s">
        <v>53</v>
      </c>
      <c r="B37" t="s">
        <v>85</v>
      </c>
      <c r="C37" s="132">
        <v>0.01</v>
      </c>
      <c r="D37" s="130">
        <f>C37*(Módulo1[[#Totals],[Valor]]+Submódulo2.1[[#Totals],[Valor]])</f>
        <v>11.9205555555556</v>
      </c>
    </row>
    <row r="38" spans="1:4">
      <c r="A38" s="123" t="s">
        <v>55</v>
      </c>
      <c r="B38" t="s">
        <v>86</v>
      </c>
      <c r="C38" s="132">
        <v>0.006</v>
      </c>
      <c r="D38" s="130">
        <f>C38*(Módulo1[[#Totals],[Valor]]+Submódulo2.1[[#Totals],[Valor]])</f>
        <v>7.15233333333333</v>
      </c>
    </row>
    <row r="39" spans="1:4">
      <c r="A39" s="123" t="s">
        <v>87</v>
      </c>
      <c r="B39" t="s">
        <v>88</v>
      </c>
      <c r="C39" s="132">
        <v>0.002</v>
      </c>
      <c r="D39" s="130">
        <f>C39*(Módulo1[[#Totals],[Valor]]+Submódulo2.1[[#Totals],[Valor]])</f>
        <v>2.38411111111111</v>
      </c>
    </row>
    <row r="40" spans="1:4">
      <c r="A40" s="123" t="s">
        <v>89</v>
      </c>
      <c r="B40" t="s">
        <v>90</v>
      </c>
      <c r="C40" s="132">
        <v>0.08</v>
      </c>
      <c r="D40" s="130">
        <f>C40*(Módulo1[[#Totals],[Valor]]+Submódulo2.1[[#Totals],[Valor]])</f>
        <v>95.3644444444445</v>
      </c>
    </row>
    <row r="41" spans="1:4">
      <c r="A41" s="123" t="s">
        <v>58</v>
      </c>
      <c r="C41" s="139">
        <f>SUBTOTAL(109,Submódulo2.2[Percentual])</f>
        <v>0.368</v>
      </c>
      <c r="D41" s="130">
        <f>SUBTOTAL(109,Submódulo2.2[Valor ])</f>
        <v>438.676444444444</v>
      </c>
    </row>
    <row r="42" spans="1:4">
      <c r="A42" s="123"/>
      <c r="C42" s="139"/>
      <c r="D42" s="130"/>
    </row>
    <row r="43" spans="1:4">
      <c r="A43" s="194" t="s">
        <v>91</v>
      </c>
      <c r="B43" s="194"/>
      <c r="C43" s="194"/>
      <c r="D43" s="194"/>
    </row>
    <row r="44" spans="1:4">
      <c r="A44" s="194" t="s">
        <v>16</v>
      </c>
      <c r="B44" s="194" t="s">
        <v>70</v>
      </c>
      <c r="C44" s="194" t="s">
        <v>71</v>
      </c>
      <c r="D44" s="195" t="s">
        <v>72</v>
      </c>
    </row>
    <row r="45" spans="1:4">
      <c r="A45" s="142" t="s">
        <v>92</v>
      </c>
      <c r="B45" s="196" t="s">
        <v>79</v>
      </c>
      <c r="C45" s="196" t="s">
        <v>93</v>
      </c>
      <c r="D45" s="196" t="s">
        <v>94</v>
      </c>
    </row>
    <row r="47" spans="1:4">
      <c r="A47" s="122" t="s">
        <v>95</v>
      </c>
      <c r="B47" s="122"/>
      <c r="C47" s="122"/>
      <c r="D47" s="122"/>
    </row>
    <row r="48" spans="1:4">
      <c r="A48" s="123" t="s">
        <v>96</v>
      </c>
      <c r="B48" s="128" t="s">
        <v>97</v>
      </c>
      <c r="C48" s="123" t="s">
        <v>18</v>
      </c>
      <c r="D48" s="123" t="s">
        <v>19</v>
      </c>
    </row>
    <row r="49" spans="1:4">
      <c r="A49" s="123" t="s">
        <v>42</v>
      </c>
      <c r="B49" t="s">
        <v>98</v>
      </c>
      <c r="D49" s="130">
        <f>IF(G3=0,0,(Servente!G3*2*Servente!G5)-(6%*_1A))</f>
        <v>0</v>
      </c>
    </row>
    <row r="50" spans="1:4">
      <c r="A50" s="123" t="s">
        <v>45</v>
      </c>
      <c r="B50" t="s">
        <v>99</v>
      </c>
      <c r="D50" s="130">
        <f>(Servente!G4*Servente!G5)*80%</f>
        <v>211.2</v>
      </c>
    </row>
    <row r="51" spans="1:4">
      <c r="A51" s="123" t="s">
        <v>48</v>
      </c>
      <c r="B51" t="s">
        <v>100</v>
      </c>
      <c r="D51" s="130"/>
    </row>
    <row r="52" spans="1:4">
      <c r="A52" s="123" t="s">
        <v>50</v>
      </c>
      <c r="B52" t="s">
        <v>56</v>
      </c>
      <c r="D52" s="130"/>
    </row>
    <row r="53" spans="1:4">
      <c r="A53" s="123" t="s">
        <v>58</v>
      </c>
      <c r="D53" s="130">
        <v>211.2</v>
      </c>
    </row>
    <row r="54" spans="1:4">
      <c r="A54" s="123"/>
      <c r="D54" s="130"/>
    </row>
    <row r="55" spans="1:4">
      <c r="A55" s="194" t="s">
        <v>101</v>
      </c>
      <c r="B55" s="194"/>
      <c r="C55" s="194"/>
      <c r="D55" s="194"/>
    </row>
    <row r="56" spans="1:4">
      <c r="A56" s="194" t="s">
        <v>16</v>
      </c>
      <c r="B56" s="194" t="s">
        <v>70</v>
      </c>
      <c r="C56" s="194" t="s">
        <v>71</v>
      </c>
      <c r="D56" s="194" t="s">
        <v>72</v>
      </c>
    </row>
    <row r="57" ht="43.2" spans="1:4">
      <c r="A57" s="142" t="s">
        <v>42</v>
      </c>
      <c r="B57" s="196" t="s">
        <v>98</v>
      </c>
      <c r="C57" s="197" t="s">
        <v>102</v>
      </c>
      <c r="D57" s="197" t="s">
        <v>103</v>
      </c>
    </row>
    <row r="58" ht="28.8" spans="1:4">
      <c r="A58" s="142" t="s">
        <v>45</v>
      </c>
      <c r="B58" s="198" t="s">
        <v>99</v>
      </c>
      <c r="C58" s="197" t="s">
        <v>102</v>
      </c>
      <c r="D58" s="197" t="s">
        <v>104</v>
      </c>
    </row>
    <row r="59" ht="19.5" customHeight="1" spans="1:4">
      <c r="A59" s="123"/>
      <c r="D59" s="130"/>
    </row>
    <row r="60" spans="1:4">
      <c r="A60" s="122" t="s">
        <v>105</v>
      </c>
      <c r="B60" s="122"/>
      <c r="C60" s="122"/>
      <c r="D60" s="122"/>
    </row>
    <row r="61" spans="1:4">
      <c r="A61" s="123" t="s">
        <v>106</v>
      </c>
      <c r="B61" s="128" t="s">
        <v>107</v>
      </c>
      <c r="C61" s="123" t="s">
        <v>18</v>
      </c>
      <c r="D61" s="123" t="s">
        <v>19</v>
      </c>
    </row>
    <row r="62" spans="1:4">
      <c r="A62" s="123" t="s">
        <v>65</v>
      </c>
      <c r="B62" t="s">
        <v>66</v>
      </c>
      <c r="C62" s="123"/>
      <c r="D62" s="130">
        <f>Submódulo2.1[[#Totals],[Valor]]</f>
        <v>194.055555555556</v>
      </c>
    </row>
    <row r="63" spans="1:4">
      <c r="A63" s="123" t="s">
        <v>78</v>
      </c>
      <c r="B63" t="s">
        <v>79</v>
      </c>
      <c r="C63" s="123"/>
      <c r="D63" s="130">
        <f>Submódulo2.2[[#Totals],[Valor ]]</f>
        <v>438.676444444444</v>
      </c>
    </row>
    <row r="64" spans="1:4">
      <c r="A64" s="123" t="s">
        <v>96</v>
      </c>
      <c r="B64" t="s">
        <v>97</v>
      </c>
      <c r="C64" s="123"/>
      <c r="D64" s="130">
        <f>Submódulo2.3[[#Totals],[Valor]]</f>
        <v>211.2</v>
      </c>
    </row>
    <row r="65" spans="1:4">
      <c r="A65" s="123" t="s">
        <v>58</v>
      </c>
      <c r="C65" s="123"/>
      <c r="D65" s="130">
        <v>843.932</v>
      </c>
    </row>
    <row r="67" spans="1:4">
      <c r="A67" s="106" t="s">
        <v>108</v>
      </c>
      <c r="B67" s="106"/>
      <c r="C67" s="106"/>
      <c r="D67" s="106"/>
    </row>
    <row r="68" spans="1:4">
      <c r="A68" s="123" t="s">
        <v>109</v>
      </c>
      <c r="B68" s="128" t="s">
        <v>110</v>
      </c>
      <c r="C68" s="123" t="s">
        <v>18</v>
      </c>
      <c r="D68" s="123" t="s">
        <v>19</v>
      </c>
    </row>
    <row r="69" spans="1:4">
      <c r="A69" s="123" t="s">
        <v>42</v>
      </c>
      <c r="B69" t="s">
        <v>111</v>
      </c>
      <c r="D69" s="130">
        <f>((Módulo1[[#Totals],[Valor]]+D62+D64)/12)*Servente!G10</f>
        <v>50.715994537037</v>
      </c>
    </row>
    <row r="70" spans="1:4">
      <c r="A70" s="123" t="s">
        <v>45</v>
      </c>
      <c r="B70" t="s">
        <v>112</v>
      </c>
      <c r="D70" s="130">
        <f>(D40/12)*Servente!G10</f>
        <v>3.44662996296296</v>
      </c>
    </row>
    <row r="71" spans="1:4">
      <c r="A71" s="123" t="s">
        <v>48</v>
      </c>
      <c r="B71" t="s">
        <v>113</v>
      </c>
      <c r="D71" s="130">
        <f>D40*50%*Servente!G10</f>
        <v>20.6797797777778</v>
      </c>
    </row>
    <row r="72" spans="1:4">
      <c r="A72" s="123" t="s">
        <v>50</v>
      </c>
      <c r="B72" t="s">
        <v>114</v>
      </c>
      <c r="D72" s="130">
        <f>((Módulo1[[#Totals],[Valor]]+ResumoMódulo2[[#Totals],[Valor]])/12)*Servente!G11</f>
        <v>66.5704923666667</v>
      </c>
    </row>
    <row r="73" spans="1:4">
      <c r="A73" s="123" t="s">
        <v>53</v>
      </c>
      <c r="B73" t="s">
        <v>115</v>
      </c>
      <c r="D73" s="130">
        <f>D40*50%*Servente!G11</f>
        <v>20.6797797777778</v>
      </c>
    </row>
    <row r="74" spans="1:4">
      <c r="A74" s="123" t="s">
        <v>55</v>
      </c>
      <c r="B74" t="s">
        <v>116</v>
      </c>
      <c r="D74" s="130">
        <f>-D62*Servente!G12</f>
        <v>-4.23041111111111</v>
      </c>
    </row>
    <row r="75" spans="1:4">
      <c r="A75" s="123" t="s">
        <v>58</v>
      </c>
      <c r="D75" s="130">
        <f>SUBTOTAL(109,Módulo3[Valor])</f>
        <v>157.862265311111</v>
      </c>
    </row>
    <row r="76" spans="1:4">
      <c r="A76" s="123"/>
      <c r="D76" s="130"/>
    </row>
    <row r="77" spans="1:4">
      <c r="A77" s="194" t="s">
        <v>117</v>
      </c>
      <c r="B77" s="194"/>
      <c r="C77" s="194"/>
      <c r="D77" s="194"/>
    </row>
    <row r="78" spans="1:4">
      <c r="A78" s="194" t="s">
        <v>16</v>
      </c>
      <c r="B78" s="194" t="s">
        <v>70</v>
      </c>
      <c r="C78" s="194" t="s">
        <v>71</v>
      </c>
      <c r="D78" s="194" t="s">
        <v>72</v>
      </c>
    </row>
    <row r="79" ht="57.6" spans="1:4">
      <c r="A79" s="142" t="s">
        <v>42</v>
      </c>
      <c r="B79" s="196" t="s">
        <v>111</v>
      </c>
      <c r="C79" s="197" t="s">
        <v>118</v>
      </c>
      <c r="D79" s="197" t="s">
        <v>119</v>
      </c>
    </row>
    <row r="80" ht="57.6" spans="1:4">
      <c r="A80" s="142" t="s">
        <v>45</v>
      </c>
      <c r="B80" s="198" t="s">
        <v>112</v>
      </c>
      <c r="C80" s="197" t="s">
        <v>120</v>
      </c>
      <c r="D80" s="197" t="s">
        <v>119</v>
      </c>
    </row>
    <row r="81" ht="72" spans="1:4">
      <c r="A81" s="142" t="s">
        <v>48</v>
      </c>
      <c r="B81" s="198" t="s">
        <v>113</v>
      </c>
      <c r="C81" s="197" t="s">
        <v>120</v>
      </c>
      <c r="D81" s="199" t="s">
        <v>121</v>
      </c>
    </row>
    <row r="82" ht="57.6" spans="1:4">
      <c r="A82" s="142" t="s">
        <v>50</v>
      </c>
      <c r="B82" s="143" t="s">
        <v>114</v>
      </c>
      <c r="C82" s="197" t="s">
        <v>122</v>
      </c>
      <c r="D82" s="199" t="s">
        <v>123</v>
      </c>
    </row>
    <row r="83" ht="72" spans="1:4">
      <c r="A83" s="142" t="s">
        <v>53</v>
      </c>
      <c r="B83" s="143" t="s">
        <v>115</v>
      </c>
      <c r="C83" s="197" t="s">
        <v>120</v>
      </c>
      <c r="D83" s="199" t="s">
        <v>124</v>
      </c>
    </row>
    <row r="84" ht="57.6" spans="1:4">
      <c r="A84" s="142" t="s">
        <v>55</v>
      </c>
      <c r="B84" s="143" t="s">
        <v>116</v>
      </c>
      <c r="C84" s="197" t="s">
        <v>125</v>
      </c>
      <c r="D84" s="199" t="s">
        <v>126</v>
      </c>
    </row>
    <row r="86" ht="15" customHeight="1" spans="1:4">
      <c r="A86" s="151" t="s">
        <v>127</v>
      </c>
      <c r="B86" s="151"/>
      <c r="C86" s="151"/>
      <c r="D86" s="151"/>
    </row>
    <row r="87" spans="1:4">
      <c r="A87" s="122" t="s">
        <v>128</v>
      </c>
      <c r="B87" s="122"/>
      <c r="C87" s="122"/>
      <c r="D87" s="122"/>
    </row>
    <row r="88" spans="1:4">
      <c r="A88" s="123" t="s">
        <v>129</v>
      </c>
      <c r="B88" s="128" t="s">
        <v>130</v>
      </c>
      <c r="C88" s="123" t="s">
        <v>131</v>
      </c>
      <c r="D88" s="123" t="s">
        <v>19</v>
      </c>
    </row>
    <row r="89" spans="1:4">
      <c r="A89" s="123" t="s">
        <v>42</v>
      </c>
      <c r="B89" t="s">
        <v>132</v>
      </c>
      <c r="C89" s="123">
        <v>20.71</v>
      </c>
      <c r="D89" s="130">
        <f>(((Módulo1[[#Totals],[Valor]]+ResumoMódulo2[[#Totals],[Valor]]+Módulo3[[#Totals],[Valor]])/30)*C89)/12</f>
        <v>115.043720096092</v>
      </c>
    </row>
    <row r="90" spans="1:4">
      <c r="A90" s="123" t="s">
        <v>45</v>
      </c>
      <c r="B90" t="s">
        <v>133</v>
      </c>
      <c r="C90" s="123">
        <v>1.4181</v>
      </c>
      <c r="D90" s="130">
        <f>(((Módulo1[[#Totals],[Valor]]+ResumoMódulo2[[#Totals],[Valor]]+Módulo3[[#Totals],[Valor]])/30)*C90)/12</f>
        <v>7.87752291010468</v>
      </c>
    </row>
    <row r="91" spans="1:4">
      <c r="A91" s="123" t="s">
        <v>48</v>
      </c>
      <c r="B91" t="s">
        <v>134</v>
      </c>
      <c r="C91" s="123">
        <v>0.1898</v>
      </c>
      <c r="D91" s="130">
        <f>(((Módulo1[[#Totals],[Valor]]+ResumoMódulo2[[#Totals],[Valor]]+Módulo3[[#Totals],[Valor]])/30)*C91)/12</f>
        <v>1.05433597654458</v>
      </c>
    </row>
    <row r="92" spans="1:4">
      <c r="A92" s="123" t="s">
        <v>50</v>
      </c>
      <c r="B92" t="s">
        <v>135</v>
      </c>
      <c r="C92" s="123">
        <v>0.9545</v>
      </c>
      <c r="D92" s="130">
        <f>(((Módulo1[[#Totals],[Valor]]+ResumoMódulo2[[#Totals],[Valor]]+Módulo3[[#Totals],[Valor]])/30)*C92)/12</f>
        <v>5.3022322951096</v>
      </c>
    </row>
    <row r="93" spans="1:4">
      <c r="A93" s="123" t="s">
        <v>53</v>
      </c>
      <c r="B93" t="s">
        <v>136</v>
      </c>
      <c r="C93" s="123">
        <v>2.4723</v>
      </c>
      <c r="D93" s="130">
        <f>(((Módulo1[[#Totals],[Valor]]+ResumoMódulo2[[#Totals],[Valor]]+Módulo3[[#Totals],[Valor]])/30)*C93)/12</f>
        <v>13.7335871170241</v>
      </c>
    </row>
    <row r="94" spans="1:4">
      <c r="A94" s="123" t="s">
        <v>55</v>
      </c>
      <c r="B94" t="s">
        <v>137</v>
      </c>
      <c r="C94" s="123">
        <v>3.4521</v>
      </c>
      <c r="D94" s="130">
        <f>(((Módulo1[[#Totals],[Valor]]+ResumoMódulo2[[#Totals],[Valor]]+Módulo3[[#Totals],[Valor]])/30)*C94)/12</f>
        <v>19.1763605091125</v>
      </c>
    </row>
    <row r="95" spans="1:4">
      <c r="A95" s="123" t="s">
        <v>58</v>
      </c>
      <c r="C95" s="123">
        <f>SUBTOTAL(109,Submódulo4.1[Dias de ausência])</f>
        <v>29.1968</v>
      </c>
      <c r="D95" s="130">
        <f>SUBTOTAL(109,Submódulo4.1[Valor])</f>
        <v>162.187758903987</v>
      </c>
    </row>
    <row r="96" spans="1:4">
      <c r="A96" s="123"/>
      <c r="C96" s="123"/>
      <c r="D96" s="130"/>
    </row>
    <row r="97" spans="1:4">
      <c r="A97" s="194" t="s">
        <v>138</v>
      </c>
      <c r="B97" s="194"/>
      <c r="C97" s="194"/>
      <c r="D97" s="194"/>
    </row>
    <row r="98" spans="1:4">
      <c r="A98" s="194" t="s">
        <v>16</v>
      </c>
      <c r="B98" s="194" t="s">
        <v>70</v>
      </c>
      <c r="C98" s="194" t="s">
        <v>71</v>
      </c>
      <c r="D98" s="194" t="s">
        <v>72</v>
      </c>
    </row>
    <row r="99" spans="1:4">
      <c r="A99" s="142" t="s">
        <v>139</v>
      </c>
      <c r="B99" s="196" t="s">
        <v>140</v>
      </c>
      <c r="C99" s="197"/>
      <c r="D99" s="197"/>
    </row>
    <row r="100" ht="43.2" spans="1:4">
      <c r="A100" s="142" t="s">
        <v>139</v>
      </c>
      <c r="B100" s="198" t="s">
        <v>141</v>
      </c>
      <c r="C100" s="197" t="s">
        <v>142</v>
      </c>
      <c r="D100" s="197" t="s">
        <v>143</v>
      </c>
    </row>
    <row r="101" spans="1:4">
      <c r="A101" s="123"/>
      <c r="C101" s="123"/>
      <c r="D101" s="130"/>
    </row>
    <row r="102" spans="1:4">
      <c r="A102" s="122" t="s">
        <v>144</v>
      </c>
      <c r="B102" s="122"/>
      <c r="C102" s="122"/>
      <c r="D102" s="122"/>
    </row>
    <row r="103" spans="1:4">
      <c r="A103" s="123" t="s">
        <v>145</v>
      </c>
      <c r="B103" s="128" t="s">
        <v>146</v>
      </c>
      <c r="C103" s="123" t="s">
        <v>18</v>
      </c>
      <c r="D103" s="123" t="s">
        <v>19</v>
      </c>
    </row>
    <row r="104" spans="1:4">
      <c r="A104" s="123" t="s">
        <v>42</v>
      </c>
      <c r="B104" t="s">
        <v>147</v>
      </c>
      <c r="C104" s="123"/>
      <c r="D104" s="130"/>
    </row>
    <row r="105" spans="1:4">
      <c r="A105" s="123" t="s">
        <v>58</v>
      </c>
      <c r="C105" s="123"/>
      <c r="D105" s="130">
        <f>SUBTOTAL(109,Submódulo4.2[Valor])</f>
        <v>0</v>
      </c>
    </row>
    <row r="107" spans="1:4">
      <c r="A107" s="122" t="s">
        <v>148</v>
      </c>
      <c r="B107" s="122"/>
      <c r="C107" s="122"/>
      <c r="D107" s="122"/>
    </row>
    <row r="108" spans="1:4">
      <c r="A108" s="123" t="s">
        <v>149</v>
      </c>
      <c r="B108" s="128" t="s">
        <v>150</v>
      </c>
      <c r="C108" s="123" t="s">
        <v>18</v>
      </c>
      <c r="D108" s="123" t="s">
        <v>19</v>
      </c>
    </row>
    <row r="109" spans="1:4">
      <c r="A109" s="123" t="s">
        <v>129</v>
      </c>
      <c r="B109" t="s">
        <v>130</v>
      </c>
      <c r="D109" s="130">
        <f>Submódulo4.1[[#Totals],[Valor]]</f>
        <v>162.187758903987</v>
      </c>
    </row>
    <row r="110" spans="1:4">
      <c r="A110" s="123" t="s">
        <v>145</v>
      </c>
      <c r="B110" t="s">
        <v>151</v>
      </c>
      <c r="D110" s="130">
        <f>Submódulo4.2[[#Totals],[Valor]]</f>
        <v>0</v>
      </c>
    </row>
    <row r="111" spans="1:4">
      <c r="A111" s="123" t="s">
        <v>58</v>
      </c>
      <c r="D111" s="130">
        <f>SUBTOTAL(109,ResumoMódulo4[Valor])</f>
        <v>162.187758903987</v>
      </c>
    </row>
    <row r="113" spans="1:4">
      <c r="A113" s="106" t="s">
        <v>152</v>
      </c>
      <c r="B113" s="106"/>
      <c r="C113" s="106"/>
      <c r="D113" s="106"/>
    </row>
    <row r="114" spans="1:4">
      <c r="A114" s="123" t="s">
        <v>153</v>
      </c>
      <c r="B114" s="128" t="s">
        <v>154</v>
      </c>
      <c r="C114" s="123" t="s">
        <v>18</v>
      </c>
      <c r="D114" s="123" t="s">
        <v>19</v>
      </c>
    </row>
    <row r="115" spans="1:4">
      <c r="A115" s="123" t="s">
        <v>42</v>
      </c>
      <c r="B115" t="s">
        <v>155</v>
      </c>
      <c r="D115" s="130" t="e">
        <f>#REF!</f>
        <v>#REF!</v>
      </c>
    </row>
    <row r="116" spans="1:4">
      <c r="A116" s="123" t="s">
        <v>45</v>
      </c>
      <c r="B116" t="s">
        <v>156</v>
      </c>
      <c r="D116" s="130" t="e">
        <f>#REF!/#REF!</f>
        <v>#REF!</v>
      </c>
    </row>
    <row r="117" spans="1:4">
      <c r="A117" s="123" t="s">
        <v>48</v>
      </c>
      <c r="B117" t="s">
        <v>157</v>
      </c>
      <c r="D117" s="130" t="e">
        <f>#REF!/#REF!</f>
        <v>#REF!</v>
      </c>
    </row>
    <row r="118" spans="1:4">
      <c r="A118" s="123" t="s">
        <v>50</v>
      </c>
      <c r="B118" t="s">
        <v>158</v>
      </c>
      <c r="D118" s="130"/>
    </row>
    <row r="119" spans="1:4">
      <c r="A119" s="123" t="s">
        <v>58</v>
      </c>
      <c r="D119" s="130" t="e">
        <f>SUBTOTAL(109,Módulo5[Valor])</f>
        <v>#REF!</v>
      </c>
    </row>
    <row r="120" spans="1:4">
      <c r="A120" s="123"/>
      <c r="D120" s="130"/>
    </row>
    <row r="121" spans="1:4">
      <c r="A121" s="194" t="s">
        <v>159</v>
      </c>
      <c r="B121" s="194"/>
      <c r="C121" s="194"/>
      <c r="D121" s="194"/>
    </row>
    <row r="122" spans="1:4">
      <c r="A122" s="194" t="s">
        <v>16</v>
      </c>
      <c r="B122" s="194" t="s">
        <v>70</v>
      </c>
      <c r="C122" s="194" t="s">
        <v>71</v>
      </c>
      <c r="D122" s="194" t="s">
        <v>72</v>
      </c>
    </row>
    <row r="123" spans="1:4">
      <c r="A123" s="142" t="s">
        <v>42</v>
      </c>
      <c r="B123" s="196" t="s">
        <v>155</v>
      </c>
      <c r="C123" s="197" t="s">
        <v>160</v>
      </c>
      <c r="D123" s="197"/>
    </row>
    <row r="124" ht="28.8" spans="1:4">
      <c r="A124" s="142" t="s">
        <v>45</v>
      </c>
      <c r="B124" s="198" t="s">
        <v>156</v>
      </c>
      <c r="C124" s="197" t="s">
        <v>161</v>
      </c>
      <c r="D124" s="197" t="s">
        <v>162</v>
      </c>
    </row>
    <row r="125" ht="28.8" spans="1:4">
      <c r="A125" s="142" t="s">
        <v>48</v>
      </c>
      <c r="B125" s="198" t="s">
        <v>157</v>
      </c>
      <c r="C125" s="197" t="s">
        <v>163</v>
      </c>
      <c r="D125" s="197" t="s">
        <v>162</v>
      </c>
    </row>
    <row r="126" spans="1:4">
      <c r="A126" s="142" t="s">
        <v>50</v>
      </c>
      <c r="B126" s="198" t="s">
        <v>158</v>
      </c>
      <c r="C126" s="197"/>
      <c r="D126" s="197"/>
    </row>
    <row r="128" spans="1:4">
      <c r="A128" s="106" t="s">
        <v>164</v>
      </c>
      <c r="B128" s="106"/>
      <c r="C128" s="106"/>
      <c r="D128" s="106"/>
    </row>
    <row r="129" outlineLevel="1" spans="1:4">
      <c r="A129" s="123" t="s">
        <v>165</v>
      </c>
      <c r="B129" t="s">
        <v>166</v>
      </c>
      <c r="C129" s="123" t="s">
        <v>38</v>
      </c>
      <c r="D129" s="123" t="s">
        <v>19</v>
      </c>
    </row>
    <row r="130" outlineLevel="1" spans="1:4">
      <c r="A130" s="123" t="s">
        <v>42</v>
      </c>
      <c r="B130" t="s">
        <v>167</v>
      </c>
      <c r="C130" s="132">
        <f>G16</f>
        <v>0.0471</v>
      </c>
      <c r="D130" s="130" t="e">
        <f>Módulo6[[#This Row],[Percentual]]*(D141+D142+D143+D144+D145)</f>
        <v>#REF!</v>
      </c>
    </row>
    <row r="131" outlineLevel="1" spans="1:4">
      <c r="A131" s="123" t="s">
        <v>45</v>
      </c>
      <c r="B131" t="s">
        <v>59</v>
      </c>
      <c r="C131" s="132">
        <f>G17</f>
        <v>0.0467</v>
      </c>
      <c r="D131" s="130" t="e">
        <f>(SUM(D141:D145)+D130)*Módulo6[[#This Row],[Percentual]]</f>
        <v>#REF!</v>
      </c>
    </row>
    <row r="132" spans="1:4">
      <c r="A132" s="123" t="s">
        <v>48</v>
      </c>
      <c r="B132" t="s">
        <v>168</v>
      </c>
      <c r="C132" s="132">
        <f>SUM(C133:C135)</f>
        <v>0.1425</v>
      </c>
      <c r="D132" s="130" t="e">
        <f>Módulo6[[#This Row],[Percentual]]*D148</f>
        <v>#REF!</v>
      </c>
    </row>
    <row r="133" spans="1:4">
      <c r="A133" s="123" t="s">
        <v>169</v>
      </c>
      <c r="B133" t="s">
        <v>60</v>
      </c>
      <c r="C133" s="132">
        <f>G18</f>
        <v>0.0165</v>
      </c>
      <c r="D133" s="130" t="e">
        <f>Módulo6[[#This Row],[Percentual]]*D148</f>
        <v>#REF!</v>
      </c>
    </row>
    <row r="134" spans="1:4">
      <c r="A134" s="123" t="s">
        <v>170</v>
      </c>
      <c r="B134" t="s">
        <v>62</v>
      </c>
      <c r="C134" s="132">
        <f>G19</f>
        <v>0.076</v>
      </c>
      <c r="D134" s="130" t="e">
        <f>Módulo6[[#This Row],[Percentual]]*D148</f>
        <v>#REF!</v>
      </c>
    </row>
    <row r="135" spans="1:4">
      <c r="A135" s="123" t="s">
        <v>171</v>
      </c>
      <c r="B135" t="s">
        <v>64</v>
      </c>
      <c r="C135" s="132">
        <f>G20</f>
        <v>0.05</v>
      </c>
      <c r="D135" s="130" t="e">
        <f>Módulo6[[#This Row],[Percentual]]*D148</f>
        <v>#REF!</v>
      </c>
    </row>
    <row r="136" spans="1:4">
      <c r="A136" s="123" t="s">
        <v>58</v>
      </c>
      <c r="C136" s="167"/>
      <c r="D136" s="130" t="e">
        <f>SUM(D130:D132)</f>
        <v>#REF!</v>
      </c>
    </row>
    <row r="137" spans="1:4">
      <c r="A137" s="123"/>
      <c r="C137" s="167"/>
      <c r="D137" s="130"/>
    </row>
    <row r="139" spans="1:4">
      <c r="A139" s="106" t="s">
        <v>172</v>
      </c>
      <c r="B139" s="106"/>
      <c r="C139" s="106"/>
      <c r="D139" s="106"/>
    </row>
    <row r="140" spans="1:4">
      <c r="A140" s="123" t="s">
        <v>16</v>
      </c>
      <c r="B140" s="123" t="s">
        <v>173</v>
      </c>
      <c r="C140" s="123" t="s">
        <v>102</v>
      </c>
      <c r="D140" s="123" t="s">
        <v>19</v>
      </c>
    </row>
    <row r="141" spans="1:4">
      <c r="A141" s="123" t="s">
        <v>42</v>
      </c>
      <c r="B141" t="s">
        <v>36</v>
      </c>
      <c r="D141" s="130">
        <f>Módulo1[[#Totals],[Valor]]</f>
        <v>998</v>
      </c>
    </row>
    <row r="142" spans="1:4">
      <c r="A142" s="123" t="s">
        <v>45</v>
      </c>
      <c r="B142" t="s">
        <v>61</v>
      </c>
      <c r="D142" s="130">
        <f>ResumoMódulo2[[#Totals],[Valor]]</f>
        <v>843.932</v>
      </c>
    </row>
    <row r="143" spans="1:4">
      <c r="A143" s="123" t="s">
        <v>48</v>
      </c>
      <c r="B143" t="s">
        <v>108</v>
      </c>
      <c r="D143" s="130">
        <f>Módulo3[[#Totals],[Valor]]</f>
        <v>157.862265311111</v>
      </c>
    </row>
    <row r="144" spans="1:4">
      <c r="A144" s="123" t="s">
        <v>50</v>
      </c>
      <c r="B144" t="s">
        <v>174</v>
      </c>
      <c r="D144" s="130">
        <f>ResumoMódulo4[[#Totals],[Valor]]</f>
        <v>162.187758903987</v>
      </c>
    </row>
    <row r="145" spans="1:4">
      <c r="A145" s="123" t="s">
        <v>53</v>
      </c>
      <c r="B145" t="s">
        <v>152</v>
      </c>
      <c r="D145" s="130" t="e">
        <f>Módulo5[[#Totals],[Valor]]</f>
        <v>#REF!</v>
      </c>
    </row>
    <row r="146" spans="1:4">
      <c r="A146" t="s">
        <v>175</v>
      </c>
      <c r="D146" s="130" t="e">
        <f>SUM(D141:D145)</f>
        <v>#REF!</v>
      </c>
    </row>
    <row r="147" spans="1:4">
      <c r="A147" s="123" t="s">
        <v>55</v>
      </c>
      <c r="B147" t="s">
        <v>164</v>
      </c>
      <c r="D147" s="130" t="e">
        <f>Módulo6[[#Totals],[Valor]]</f>
        <v>#REF!</v>
      </c>
    </row>
    <row r="148" spans="1:4">
      <c r="A148" s="169" t="s">
        <v>176</v>
      </c>
      <c r="B148" s="169"/>
      <c r="C148" s="169"/>
      <c r="D148" s="200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29" workbookViewId="0">
      <selection activeCell="F28" sqref="F28"/>
    </sheetView>
  </sheetViews>
  <sheetFormatPr defaultColWidth="9.13888888888889" defaultRowHeight="14.4" outlineLevelCol="6"/>
  <cols>
    <col min="1" max="1" width="11.6018518518519" customWidth="1"/>
    <col min="2" max="2" width="45.0555555555556" customWidth="1"/>
    <col min="3" max="3" width="26.7777777777778" customWidth="1"/>
    <col min="4" max="4" width="39.5" customWidth="1"/>
    <col min="6" max="6" width="22.8611111111111" customWidth="1"/>
    <col min="7" max="7" width="15.5555555555556" customWidth="1"/>
    <col min="9" max="9" width="11.4259259259259"/>
  </cols>
  <sheetData>
    <row r="2" ht="18.75" spans="1:4">
      <c r="A2" s="99" t="s">
        <v>177</v>
      </c>
      <c r="B2" s="99"/>
      <c r="C2" s="99"/>
      <c r="D2" s="99"/>
    </row>
    <row r="3" ht="15.15" spans="1:4">
      <c r="A3" s="100" t="s">
        <v>178</v>
      </c>
      <c r="B3" s="100"/>
      <c r="C3" s="100"/>
      <c r="D3" s="100"/>
    </row>
    <row r="4" spans="1:4">
      <c r="A4" s="101" t="s">
        <v>179</v>
      </c>
      <c r="B4" s="102" t="s">
        <v>180</v>
      </c>
      <c r="C4" s="103"/>
      <c r="D4" s="103"/>
    </row>
    <row r="5" spans="1:4">
      <c r="A5" s="104"/>
      <c r="B5" s="105"/>
      <c r="C5" s="105"/>
      <c r="D5" s="105"/>
    </row>
    <row r="6" ht="15.15" spans="1:4">
      <c r="A6" s="106" t="s">
        <v>181</v>
      </c>
      <c r="B6" s="106"/>
      <c r="C6" s="106"/>
      <c r="D6" s="106"/>
    </row>
    <row r="7" ht="15.15" spans="1:4">
      <c r="A7" s="107" t="s">
        <v>42</v>
      </c>
      <c r="B7" s="108" t="s">
        <v>182</v>
      </c>
      <c r="C7" s="109" t="s">
        <v>183</v>
      </c>
      <c r="D7" s="109"/>
    </row>
    <row r="8" spans="1:4">
      <c r="A8" s="110" t="s">
        <v>45</v>
      </c>
      <c r="B8" s="111" t="s">
        <v>184</v>
      </c>
      <c r="C8" s="112" t="s">
        <v>185</v>
      </c>
      <c r="D8" s="112"/>
    </row>
    <row r="9" spans="1:4">
      <c r="A9" s="113" t="s">
        <v>48</v>
      </c>
      <c r="B9" s="114" t="s">
        <v>186</v>
      </c>
      <c r="C9" s="112" t="s">
        <v>187</v>
      </c>
      <c r="D9" s="112"/>
    </row>
    <row r="10" spans="1:4">
      <c r="A10" s="110" t="s">
        <v>53</v>
      </c>
      <c r="B10" s="111" t="s">
        <v>188</v>
      </c>
      <c r="C10" s="112" t="s">
        <v>189</v>
      </c>
      <c r="D10" s="112"/>
    </row>
    <row r="11" ht="15.15" spans="1:4">
      <c r="A11" s="115" t="s">
        <v>190</v>
      </c>
      <c r="B11" s="115"/>
      <c r="C11" s="115"/>
      <c r="D11" s="115"/>
    </row>
    <row r="12" ht="15.9" spans="1:4">
      <c r="A12" s="116" t="s">
        <v>191</v>
      </c>
      <c r="B12" s="116"/>
      <c r="C12" s="115" t="s">
        <v>192</v>
      </c>
      <c r="D12" s="117" t="s">
        <v>193</v>
      </c>
    </row>
    <row r="13" ht="15.15" spans="1:4">
      <c r="A13" s="118" t="s">
        <v>194</v>
      </c>
      <c r="B13" s="118"/>
      <c r="C13" s="112" t="s">
        <v>195</v>
      </c>
      <c r="D13" s="119">
        <f>RESUMO!D3</f>
        <v>2</v>
      </c>
    </row>
    <row r="14" spans="1:4">
      <c r="A14" s="120"/>
      <c r="B14" s="120"/>
      <c r="C14" s="112"/>
      <c r="D14" s="121"/>
    </row>
    <row r="15" ht="15.15" spans="1:7">
      <c r="A15" s="115" t="s">
        <v>14</v>
      </c>
      <c r="B15" s="115"/>
      <c r="C15" s="115"/>
      <c r="D15" s="115"/>
      <c r="F15" s="122"/>
      <c r="G15" s="122"/>
    </row>
    <row r="16" ht="15.15" spans="1:4">
      <c r="A16" s="123" t="s">
        <v>16</v>
      </c>
      <c r="B16" t="s">
        <v>17</v>
      </c>
      <c r="C16" s="123" t="s">
        <v>18</v>
      </c>
      <c r="D16" s="123" t="s">
        <v>19</v>
      </c>
    </row>
    <row r="17" spans="1:4">
      <c r="A17" s="123">
        <v>1</v>
      </c>
      <c r="B17" t="s">
        <v>20</v>
      </c>
      <c r="C17" s="124" t="s">
        <v>102</v>
      </c>
      <c r="D17" s="124" t="str">
        <f>A13</f>
        <v>Auxiliar Administrativo</v>
      </c>
    </row>
    <row r="18" spans="1:4">
      <c r="A18" s="123">
        <v>2</v>
      </c>
      <c r="B18" t="s">
        <v>23</v>
      </c>
      <c r="C18" s="124" t="s">
        <v>196</v>
      </c>
      <c r="D18" s="124" t="s">
        <v>197</v>
      </c>
    </row>
    <row r="19" spans="1:4">
      <c r="A19" s="123">
        <v>3</v>
      </c>
      <c r="B19" t="s">
        <v>26</v>
      </c>
      <c r="C19" s="124" t="str">
        <f>C9</f>
        <v>CCT PB000047/2021</v>
      </c>
      <c r="D19" s="125">
        <v>1148</v>
      </c>
    </row>
    <row r="20" spans="1:4">
      <c r="A20" s="123">
        <v>4</v>
      </c>
      <c r="B20" t="s">
        <v>29</v>
      </c>
      <c r="C20" s="124" t="str">
        <f>C9</f>
        <v>CCT PB000047/2021</v>
      </c>
      <c r="D20" s="126" t="s">
        <v>198</v>
      </c>
    </row>
    <row r="21" spans="1:4">
      <c r="A21" s="123">
        <v>5</v>
      </c>
      <c r="B21" t="s">
        <v>33</v>
      </c>
      <c r="C21" s="124" t="str">
        <f>C9</f>
        <v>CCT PB000047/2021</v>
      </c>
      <c r="D21" s="127" t="s">
        <v>199</v>
      </c>
    </row>
    <row r="22" spans="6:7">
      <c r="F22" s="122"/>
      <c r="G22" s="122"/>
    </row>
    <row r="23" spans="1:4">
      <c r="A23" s="106" t="s">
        <v>36</v>
      </c>
      <c r="B23" s="106"/>
      <c r="C23" s="106"/>
      <c r="D23" s="106"/>
    </row>
    <row r="24" spans="1:7">
      <c r="A24" s="123" t="s">
        <v>39</v>
      </c>
      <c r="B24" s="128" t="s">
        <v>40</v>
      </c>
      <c r="C24" s="123" t="s">
        <v>18</v>
      </c>
      <c r="D24" s="123" t="s">
        <v>19</v>
      </c>
      <c r="G24" s="129"/>
    </row>
    <row r="25" spans="1:7">
      <c r="A25" s="123" t="s">
        <v>42</v>
      </c>
      <c r="B25" t="s">
        <v>43</v>
      </c>
      <c r="C25" s="126" t="s">
        <v>200</v>
      </c>
      <c r="D25" s="125">
        <f>D19</f>
        <v>1148</v>
      </c>
      <c r="G25" s="129"/>
    </row>
    <row r="26" spans="1:7">
      <c r="A26" s="123" t="s">
        <v>45</v>
      </c>
      <c r="B26" t="s">
        <v>46</v>
      </c>
      <c r="C26" s="126"/>
      <c r="D26" s="125">
        <v>0</v>
      </c>
      <c r="G26" s="129"/>
    </row>
    <row r="27" spans="1:4">
      <c r="A27" s="123" t="s">
        <v>48</v>
      </c>
      <c r="B27" t="s">
        <v>49</v>
      </c>
      <c r="C27" s="126"/>
      <c r="D27" s="125">
        <v>0</v>
      </c>
    </row>
    <row r="28" spans="1:4">
      <c r="A28" s="123" t="s">
        <v>50</v>
      </c>
      <c r="B28" t="s">
        <v>51</v>
      </c>
      <c r="C28" s="126"/>
      <c r="D28" s="125">
        <v>0</v>
      </c>
    </row>
    <row r="29" spans="1:4">
      <c r="A29" s="123" t="s">
        <v>53</v>
      </c>
      <c r="B29" t="s">
        <v>54</v>
      </c>
      <c r="C29" s="126"/>
      <c r="D29" s="125">
        <v>0</v>
      </c>
    </row>
    <row r="30" spans="1:4">
      <c r="A30" s="123" t="s">
        <v>55</v>
      </c>
      <c r="B30" t="s">
        <v>56</v>
      </c>
      <c r="C30" s="126"/>
      <c r="D30" s="125">
        <v>0</v>
      </c>
    </row>
    <row r="31" spans="1:7">
      <c r="A31" s="123" t="s">
        <v>58</v>
      </c>
      <c r="C31" s="123"/>
      <c r="D31" s="130">
        <f>TRUNC((SUM(D25:D30)),2)</f>
        <v>1148</v>
      </c>
      <c r="F31" s="122"/>
      <c r="G31" s="122"/>
    </row>
    <row r="33" spans="1:7">
      <c r="A33" s="131" t="s">
        <v>61</v>
      </c>
      <c r="B33" s="131"/>
      <c r="C33" s="131"/>
      <c r="D33" s="131"/>
      <c r="G33" s="129"/>
    </row>
    <row r="35" spans="1:4">
      <c r="A35" s="122" t="s">
        <v>63</v>
      </c>
      <c r="B35" s="122"/>
      <c r="C35" s="122"/>
      <c r="D35" s="122"/>
    </row>
    <row r="36" spans="1:4">
      <c r="A36" s="123" t="s">
        <v>65</v>
      </c>
      <c r="B36" s="128" t="s">
        <v>66</v>
      </c>
      <c r="C36" s="123" t="s">
        <v>38</v>
      </c>
      <c r="D36" s="123" t="s">
        <v>19</v>
      </c>
    </row>
    <row r="37" spans="1:7">
      <c r="A37" s="123" t="s">
        <v>42</v>
      </c>
      <c r="B37" t="s">
        <v>67</v>
      </c>
      <c r="C37" s="132">
        <f>(1/12)</f>
        <v>0.0833333333333333</v>
      </c>
      <c r="D37" s="130">
        <f>TRUNC($D$31*C37,2)</f>
        <v>95.66</v>
      </c>
      <c r="F37" s="133"/>
      <c r="G37" s="133"/>
    </row>
    <row r="38" spans="1:7">
      <c r="A38" s="123" t="s">
        <v>45</v>
      </c>
      <c r="B38" t="s">
        <v>68</v>
      </c>
      <c r="C38" s="132">
        <f>(((1+1/3)/12))</f>
        <v>0.111111111111111</v>
      </c>
      <c r="D38" s="130">
        <f>TRUNC($D$31*C38,2)</f>
        <v>127.55</v>
      </c>
      <c r="F38" s="133"/>
      <c r="G38" s="133"/>
    </row>
    <row r="39" spans="1:7">
      <c r="A39" s="123" t="s">
        <v>58</v>
      </c>
      <c r="D39" s="130">
        <f>TRUNC((SUM(D37:D38)),2)</f>
        <v>223.21</v>
      </c>
      <c r="F39" s="133"/>
      <c r="G39" s="133"/>
    </row>
    <row r="40" ht="15.15" spans="4:7">
      <c r="D40" s="130"/>
      <c r="F40" s="133"/>
      <c r="G40" s="133"/>
    </row>
    <row r="41" ht="15.9" spans="1:7">
      <c r="A41" s="134" t="s">
        <v>201</v>
      </c>
      <c r="B41" s="134"/>
      <c r="C41" s="135" t="s">
        <v>202</v>
      </c>
      <c r="D41" s="136">
        <f>D31</f>
        <v>1148</v>
      </c>
      <c r="F41" s="133"/>
      <c r="G41" s="133"/>
    </row>
    <row r="42" ht="15.9" spans="1:7">
      <c r="A42" s="134"/>
      <c r="B42" s="134"/>
      <c r="C42" s="137" t="s">
        <v>203</v>
      </c>
      <c r="D42" s="136">
        <f>D39</f>
        <v>223.21</v>
      </c>
      <c r="F42" s="133"/>
      <c r="G42" s="133"/>
    </row>
    <row r="43" ht="15.9" spans="1:7">
      <c r="A43" s="134"/>
      <c r="B43" s="134"/>
      <c r="C43" s="135" t="s">
        <v>204</v>
      </c>
      <c r="D43" s="138">
        <f>TRUNC((SUM(D41:D42)),2)</f>
        <v>1371.21</v>
      </c>
      <c r="F43" s="133"/>
      <c r="G43" s="133"/>
    </row>
    <row r="44" ht="15.15" spans="1:7">
      <c r="A44" s="123"/>
      <c r="C44" s="139"/>
      <c r="D44" s="130"/>
      <c r="F44" s="133"/>
      <c r="G44" s="133"/>
    </row>
    <row r="45" spans="1:4">
      <c r="A45" s="122" t="s">
        <v>77</v>
      </c>
      <c r="B45" s="122"/>
      <c r="C45" s="122"/>
      <c r="D45" s="122"/>
    </row>
    <row r="46" spans="1:4">
      <c r="A46" s="123" t="s">
        <v>78</v>
      </c>
      <c r="B46" s="128" t="s">
        <v>79</v>
      </c>
      <c r="C46" s="123" t="s">
        <v>38</v>
      </c>
      <c r="D46" s="123" t="s">
        <v>80</v>
      </c>
    </row>
    <row r="47" spans="1:4">
      <c r="A47" s="123" t="s">
        <v>42</v>
      </c>
      <c r="B47" t="s">
        <v>81</v>
      </c>
      <c r="C47" s="132">
        <v>0.2</v>
      </c>
      <c r="D47" s="130">
        <f t="shared" ref="D47:D54" si="0">TRUNC(($D$43*C47),2)</f>
        <v>274.24</v>
      </c>
    </row>
    <row r="48" spans="1:4">
      <c r="A48" s="123" t="s">
        <v>45</v>
      </c>
      <c r="B48" t="s">
        <v>82</v>
      </c>
      <c r="C48" s="132">
        <v>0.025</v>
      </c>
      <c r="D48" s="130">
        <f t="shared" si="0"/>
        <v>34.28</v>
      </c>
    </row>
    <row r="49" spans="1:4">
      <c r="A49" s="123" t="s">
        <v>48</v>
      </c>
      <c r="B49" t="s">
        <v>205</v>
      </c>
      <c r="C49" s="140">
        <v>0.06</v>
      </c>
      <c r="D49" s="125">
        <f t="shared" si="0"/>
        <v>82.27</v>
      </c>
    </row>
    <row r="50" spans="1:4">
      <c r="A50" s="123" t="s">
        <v>50</v>
      </c>
      <c r="B50" t="s">
        <v>84</v>
      </c>
      <c r="C50" s="132">
        <v>0.015</v>
      </c>
      <c r="D50" s="130">
        <f t="shared" si="0"/>
        <v>20.56</v>
      </c>
    </row>
    <row r="51" spans="1:4">
      <c r="A51" s="123" t="s">
        <v>53</v>
      </c>
      <c r="B51" t="s">
        <v>85</v>
      </c>
      <c r="C51" s="132">
        <v>0.01</v>
      </c>
      <c r="D51" s="130">
        <f t="shared" si="0"/>
        <v>13.71</v>
      </c>
    </row>
    <row r="52" spans="1:4">
      <c r="A52" s="123" t="s">
        <v>55</v>
      </c>
      <c r="B52" t="s">
        <v>86</v>
      </c>
      <c r="C52" s="132">
        <v>0.006</v>
      </c>
      <c r="D52" s="130">
        <f t="shared" si="0"/>
        <v>8.22</v>
      </c>
    </row>
    <row r="53" spans="1:4">
      <c r="A53" s="123" t="s">
        <v>87</v>
      </c>
      <c r="B53" t="s">
        <v>88</v>
      </c>
      <c r="C53" s="132">
        <v>0.002</v>
      </c>
      <c r="D53" s="130">
        <f t="shared" si="0"/>
        <v>2.74</v>
      </c>
    </row>
    <row r="54" spans="1:4">
      <c r="A54" s="123" t="s">
        <v>89</v>
      </c>
      <c r="B54" t="s">
        <v>90</v>
      </c>
      <c r="C54" s="132">
        <v>0.08</v>
      </c>
      <c r="D54" s="130">
        <f t="shared" si="0"/>
        <v>109.69</v>
      </c>
    </row>
    <row r="55" spans="1:4">
      <c r="A55" s="123" t="s">
        <v>58</v>
      </c>
      <c r="C55" s="139">
        <f>SUM(C47:C54)</f>
        <v>0.398</v>
      </c>
      <c r="D55" s="130">
        <v>692.13</v>
      </c>
    </row>
    <row r="56" spans="1:4">
      <c r="A56" s="123"/>
      <c r="C56" s="139"/>
      <c r="D56" s="130"/>
    </row>
    <row r="57" spans="1:4">
      <c r="A57" s="122" t="s">
        <v>95</v>
      </c>
      <c r="B57" s="122"/>
      <c r="C57" s="122"/>
      <c r="D57" s="122"/>
    </row>
    <row r="58" spans="1:4">
      <c r="A58" s="123" t="s">
        <v>96</v>
      </c>
      <c r="B58" s="128" t="s">
        <v>97</v>
      </c>
      <c r="C58" s="123" t="s">
        <v>18</v>
      </c>
      <c r="D58" s="123" t="s">
        <v>19</v>
      </c>
    </row>
    <row r="59" spans="1:4">
      <c r="A59" s="123" t="s">
        <v>42</v>
      </c>
      <c r="B59" t="s">
        <v>98</v>
      </c>
      <c r="C59" s="124"/>
      <c r="D59" s="141">
        <f>TRUNC(((22*4.15)*2)-((D25/100)*6),2)</f>
        <v>113.72</v>
      </c>
    </row>
    <row r="60" spans="1:4">
      <c r="A60" s="123" t="s">
        <v>45</v>
      </c>
      <c r="B60" t="s">
        <v>99</v>
      </c>
      <c r="C60" s="124" t="str">
        <f>C9</f>
        <v>CCT PB000047/2021</v>
      </c>
      <c r="D60" s="125">
        <f>TRUNC((((22*18))-(((22*18))*0.2)),2)</f>
        <v>316.8</v>
      </c>
    </row>
    <row r="61" spans="1:4">
      <c r="A61" s="123" t="s">
        <v>48</v>
      </c>
      <c r="B61" t="s">
        <v>100</v>
      </c>
      <c r="C61" s="124"/>
      <c r="D61" s="125">
        <v>0</v>
      </c>
    </row>
    <row r="62" spans="1:6">
      <c r="A62" s="142" t="s">
        <v>50</v>
      </c>
      <c r="B62" s="143" t="s">
        <v>206</v>
      </c>
      <c r="C62" s="144"/>
      <c r="D62" s="144">
        <v>0</v>
      </c>
      <c r="F62" s="143"/>
    </row>
    <row r="63" spans="1:4">
      <c r="A63" s="123" t="s">
        <v>53</v>
      </c>
      <c r="B63" s="128" t="s">
        <v>207</v>
      </c>
      <c r="C63" s="124" t="str">
        <f>C60</f>
        <v>CCT PB000047/2021</v>
      </c>
      <c r="D63" s="125">
        <v>15</v>
      </c>
    </row>
    <row r="64" spans="1:4">
      <c r="A64" s="123" t="s">
        <v>55</v>
      </c>
      <c r="B64" s="145" t="s">
        <v>208</v>
      </c>
      <c r="C64" s="144" t="str">
        <f>C60</f>
        <v>CCT PB000047/2021</v>
      </c>
      <c r="D64" s="125">
        <v>5</v>
      </c>
    </row>
    <row r="65" spans="1:4">
      <c r="A65" s="123" t="s">
        <v>58</v>
      </c>
      <c r="D65" s="130">
        <f>TRUNC((SUM(D59:D64)),2)</f>
        <v>450.52</v>
      </c>
    </row>
    <row r="66" spans="1:4">
      <c r="A66" s="123"/>
      <c r="D66" s="130"/>
    </row>
    <row r="67" spans="1:4">
      <c r="A67" s="122" t="s">
        <v>105</v>
      </c>
      <c r="B67" s="122"/>
      <c r="C67" s="122"/>
      <c r="D67" s="122"/>
    </row>
    <row r="68" spans="1:4">
      <c r="A68" s="123" t="s">
        <v>106</v>
      </c>
      <c r="B68" s="128" t="s">
        <v>107</v>
      </c>
      <c r="C68" s="123" t="s">
        <v>18</v>
      </c>
      <c r="D68" s="123" t="s">
        <v>19</v>
      </c>
    </row>
    <row r="69" spans="1:4">
      <c r="A69" s="123" t="s">
        <v>65</v>
      </c>
      <c r="B69" t="s">
        <v>66</v>
      </c>
      <c r="C69" s="123"/>
      <c r="D69" s="130">
        <f>D39</f>
        <v>223.21</v>
      </c>
    </row>
    <row r="70" spans="1:4">
      <c r="A70" s="123" t="s">
        <v>78</v>
      </c>
      <c r="B70" t="s">
        <v>79</v>
      </c>
      <c r="C70" s="123"/>
      <c r="D70" s="130">
        <f>D55</f>
        <v>692.13</v>
      </c>
    </row>
    <row r="71" spans="1:4">
      <c r="A71" s="123" t="s">
        <v>96</v>
      </c>
      <c r="B71" t="s">
        <v>97</v>
      </c>
      <c r="C71" s="123"/>
      <c r="D71" s="130">
        <f>D65</f>
        <v>450.52</v>
      </c>
    </row>
    <row r="72" spans="1:4">
      <c r="A72" s="123" t="s">
        <v>58</v>
      </c>
      <c r="C72" s="123"/>
      <c r="D72" s="130">
        <f>TRUNC((SUM(D69:D71)),2)</f>
        <v>1365.86</v>
      </c>
    </row>
    <row r="74" spans="1:4">
      <c r="A74" s="106" t="s">
        <v>108</v>
      </c>
      <c r="B74" s="106"/>
      <c r="C74" s="106"/>
      <c r="D74" s="106"/>
    </row>
    <row r="75" spans="1:4">
      <c r="A75" s="123" t="s">
        <v>109</v>
      </c>
      <c r="B75" s="128" t="s">
        <v>110</v>
      </c>
      <c r="C75" s="123" t="s">
        <v>38</v>
      </c>
      <c r="D75" s="123" t="s">
        <v>19</v>
      </c>
    </row>
    <row r="76" spans="1:4">
      <c r="A76" s="123" t="s">
        <v>42</v>
      </c>
      <c r="B76" t="s">
        <v>111</v>
      </c>
      <c r="C76" s="140">
        <f>((1/12)*5%)</f>
        <v>0.00416666666666667</v>
      </c>
      <c r="D76" s="125">
        <f>TRUNC(($D$31*C76),2)</f>
        <v>4.78</v>
      </c>
    </row>
    <row r="77" spans="1:4">
      <c r="A77" s="123" t="s">
        <v>45</v>
      </c>
      <c r="B77" t="s">
        <v>112</v>
      </c>
      <c r="C77" s="146">
        <v>0.08</v>
      </c>
      <c r="D77" s="130">
        <f>TRUNC(($D$76*C77),2)</f>
        <v>0.38</v>
      </c>
    </row>
    <row r="78" spans="1:4">
      <c r="A78" s="123" t="s">
        <v>48</v>
      </c>
      <c r="B78" s="147" t="s">
        <v>113</v>
      </c>
      <c r="C78" s="148">
        <f>(0.08*0.4*0.05)</f>
        <v>0.0016</v>
      </c>
      <c r="D78" s="144">
        <f>TRUNC(($D$31*C78),2)</f>
        <v>1.83</v>
      </c>
    </row>
    <row r="79" spans="1:4">
      <c r="A79" s="123" t="s">
        <v>50</v>
      </c>
      <c r="B79" t="s">
        <v>114</v>
      </c>
      <c r="C79" s="149">
        <f>(((7/30)/12)*0.95)</f>
        <v>0.0184722222222222</v>
      </c>
      <c r="D79" s="150">
        <f>TRUNC(($D$31*C79),2)</f>
        <v>21.2</v>
      </c>
    </row>
    <row r="80" spans="1:4">
      <c r="A80" s="123" t="s">
        <v>53</v>
      </c>
      <c r="B80" s="147" t="s">
        <v>209</v>
      </c>
      <c r="C80" s="148">
        <f>C55</f>
        <v>0.398</v>
      </c>
      <c r="D80" s="144">
        <f>TRUNC(($D$79*C80),2)</f>
        <v>8.43</v>
      </c>
    </row>
    <row r="81" spans="1:4">
      <c r="A81" s="123" t="s">
        <v>55</v>
      </c>
      <c r="B81" s="147" t="s">
        <v>115</v>
      </c>
      <c r="C81" s="149">
        <f>(0.08*0.4*0.95)</f>
        <v>0.0304</v>
      </c>
      <c r="D81" s="183">
        <f>TRUNC(($D$31*C81),2)</f>
        <v>34.89</v>
      </c>
    </row>
    <row r="82" spans="1:4">
      <c r="A82" s="123" t="s">
        <v>58</v>
      </c>
      <c r="C82" s="146">
        <f>SUM(C76:C81)</f>
        <v>0.532638888888889</v>
      </c>
      <c r="D82" s="130">
        <f>TRUNC((SUM(D76:D81)),2)</f>
        <v>71.51</v>
      </c>
    </row>
    <row r="83" ht="15.15" spans="1:4">
      <c r="A83" s="123"/>
      <c r="D83" s="130"/>
    </row>
    <row r="84" ht="15.9" spans="1:4">
      <c r="A84" s="134" t="s">
        <v>210</v>
      </c>
      <c r="B84" s="134"/>
      <c r="C84" s="135" t="s">
        <v>202</v>
      </c>
      <c r="D84" s="136">
        <f>D31</f>
        <v>1148</v>
      </c>
    </row>
    <row r="85" ht="15.9" spans="1:4">
      <c r="A85" s="134"/>
      <c r="B85" s="134"/>
      <c r="C85" s="137" t="s">
        <v>211</v>
      </c>
      <c r="D85" s="136">
        <f>D72</f>
        <v>1365.86</v>
      </c>
    </row>
    <row r="86" ht="15.9" spans="1:4">
      <c r="A86" s="134"/>
      <c r="B86" s="134"/>
      <c r="C86" s="135" t="s">
        <v>212</v>
      </c>
      <c r="D86" s="136">
        <f>D82</f>
        <v>71.51</v>
      </c>
    </row>
    <row r="87" ht="15.9" spans="1:4">
      <c r="A87" s="134"/>
      <c r="B87" s="134"/>
      <c r="C87" s="137" t="s">
        <v>204</v>
      </c>
      <c r="D87" s="138">
        <f>TRUNC((SUM(D84:D86)),2)</f>
        <v>2585.37</v>
      </c>
    </row>
    <row r="88" ht="15.15" spans="1:4">
      <c r="A88" s="123"/>
      <c r="D88" s="130"/>
    </row>
    <row r="89" spans="1:4">
      <c r="A89" s="151" t="s">
        <v>127</v>
      </c>
      <c r="B89" s="151"/>
      <c r="C89" s="151"/>
      <c r="D89" s="151"/>
    </row>
    <row r="90" spans="1:4">
      <c r="A90" s="122" t="s">
        <v>128</v>
      </c>
      <c r="B90" s="122"/>
      <c r="C90" s="122"/>
      <c r="D90" s="122"/>
    </row>
    <row r="91" spans="1:4">
      <c r="A91" s="123" t="s">
        <v>129</v>
      </c>
      <c r="B91" s="128" t="s">
        <v>130</v>
      </c>
      <c r="C91" s="123" t="s">
        <v>38</v>
      </c>
      <c r="D91" s="123" t="s">
        <v>19</v>
      </c>
    </row>
    <row r="92" spans="1:4">
      <c r="A92" s="123" t="s">
        <v>42</v>
      </c>
      <c r="B92" t="s">
        <v>213</v>
      </c>
      <c r="C92" s="146">
        <f>(((1+1/3)/12)/12)+((1/12)/12)</f>
        <v>0.0162037037037037</v>
      </c>
      <c r="D92" s="130">
        <f>TRUNC(($D$87*C92),2)</f>
        <v>41.89</v>
      </c>
    </row>
    <row r="93" spans="1:4">
      <c r="A93" s="123" t="s">
        <v>45</v>
      </c>
      <c r="B93" t="s">
        <v>133</v>
      </c>
      <c r="C93" s="140">
        <f>((2/30)/12)</f>
        <v>0.00555555555555556</v>
      </c>
      <c r="D93" s="144">
        <f t="shared" ref="D92:D96" si="1">TRUNC(($D$87*C93),2)</f>
        <v>14.36</v>
      </c>
    </row>
    <row r="94" spans="1:4">
      <c r="A94" s="123" t="s">
        <v>48</v>
      </c>
      <c r="B94" t="s">
        <v>134</v>
      </c>
      <c r="C94" s="140">
        <f>((5/30)/12)*0.02</f>
        <v>0.000277777777777778</v>
      </c>
      <c r="D94" s="144">
        <f t="shared" si="1"/>
        <v>0.71</v>
      </c>
    </row>
    <row r="95" spans="1:4">
      <c r="A95" s="142" t="s">
        <v>50</v>
      </c>
      <c r="B95" s="147" t="s">
        <v>135</v>
      </c>
      <c r="C95" s="148">
        <f>((15/30)/12)*0.08</f>
        <v>0.00333333333333333</v>
      </c>
      <c r="D95" s="144">
        <f t="shared" si="1"/>
        <v>8.61</v>
      </c>
    </row>
    <row r="96" spans="1:4">
      <c r="A96" s="123" t="s">
        <v>53</v>
      </c>
      <c r="B96" t="s">
        <v>136</v>
      </c>
      <c r="C96" s="140">
        <f>((1+1/3)/12)*0.03*((4/12))</f>
        <v>0.00111111111111111</v>
      </c>
      <c r="D96" s="144">
        <f t="shared" si="1"/>
        <v>2.87</v>
      </c>
    </row>
    <row r="97" spans="1:4">
      <c r="A97" s="123" t="s">
        <v>55</v>
      </c>
      <c r="B97" s="147" t="s">
        <v>214</v>
      </c>
      <c r="C97" s="152">
        <v>0</v>
      </c>
      <c r="D97" s="144">
        <f>TRUNC($D$87*C97)</f>
        <v>0</v>
      </c>
    </row>
    <row r="98" spans="1:4">
      <c r="A98" s="123" t="s">
        <v>58</v>
      </c>
      <c r="C98" s="146">
        <f>SUM(C92:C97)</f>
        <v>0.0264814814814815</v>
      </c>
      <c r="D98" s="130">
        <f>TRUNC((SUM(D92:D97)),2)</f>
        <v>68.44</v>
      </c>
    </row>
    <row r="99" spans="1:4">
      <c r="A99" s="123"/>
      <c r="C99" s="123"/>
      <c r="D99" s="130"/>
    </row>
    <row r="100" spans="1:4">
      <c r="A100" s="122" t="s">
        <v>144</v>
      </c>
      <c r="B100" s="122"/>
      <c r="C100" s="122"/>
      <c r="D100" s="122"/>
    </row>
    <row r="101" spans="1:4">
      <c r="A101" s="123" t="s">
        <v>145</v>
      </c>
      <c r="B101" s="128" t="s">
        <v>146</v>
      </c>
      <c r="C101" s="123" t="s">
        <v>18</v>
      </c>
      <c r="D101" s="123" t="s">
        <v>19</v>
      </c>
    </row>
    <row r="102" ht="72" spans="1:4">
      <c r="A102" s="142" t="s">
        <v>42</v>
      </c>
      <c r="B102" s="153" t="s">
        <v>147</v>
      </c>
      <c r="C102" s="154" t="s">
        <v>215</v>
      </c>
      <c r="D102" s="155" t="s">
        <v>216</v>
      </c>
    </row>
    <row r="103" spans="1:4">
      <c r="A103" s="123" t="s">
        <v>58</v>
      </c>
      <c r="C103" s="156"/>
      <c r="D103" s="157" t="str">
        <f>D102</f>
        <v>*=TRUNCAR(($D$86/220)*(1*(365/12))/2)</v>
      </c>
    </row>
    <row r="105" spans="1:4">
      <c r="A105" s="122" t="s">
        <v>148</v>
      </c>
      <c r="B105" s="122"/>
      <c r="C105" s="122"/>
      <c r="D105" s="122"/>
    </row>
    <row r="106" spans="1:4">
      <c r="A106" s="123" t="s">
        <v>149</v>
      </c>
      <c r="B106" s="128" t="s">
        <v>150</v>
      </c>
      <c r="C106" s="123" t="s">
        <v>18</v>
      </c>
      <c r="D106" s="123" t="s">
        <v>19</v>
      </c>
    </row>
    <row r="107" spans="1:4">
      <c r="A107" s="123" t="s">
        <v>129</v>
      </c>
      <c r="B107" t="s">
        <v>130</v>
      </c>
      <c r="D107" s="125">
        <f>D98</f>
        <v>68.44</v>
      </c>
    </row>
    <row r="108" spans="1:4">
      <c r="A108" s="123" t="s">
        <v>145</v>
      </c>
      <c r="B108" t="s">
        <v>151</v>
      </c>
      <c r="C108" s="128"/>
      <c r="D108" s="158" t="str">
        <f>Submódulo4.260_55107[[#Totals],[Valor]]</f>
        <v>*=TRUNCAR(($D$86/220)*(1*(365/12))/2)</v>
      </c>
    </row>
    <row r="109" ht="43.2" spans="1:4">
      <c r="A109" s="142" t="s">
        <v>58</v>
      </c>
      <c r="B109" s="143"/>
      <c r="C109" s="154" t="s">
        <v>217</v>
      </c>
      <c r="D109" s="159">
        <f>TRUNC((SUM(D107:D108)),2)</f>
        <v>68.44</v>
      </c>
    </row>
    <row r="111" spans="1:4">
      <c r="A111" s="106" t="s">
        <v>152</v>
      </c>
      <c r="B111" s="106"/>
      <c r="C111" s="106"/>
      <c r="D111" s="106"/>
    </row>
    <row r="112" ht="37" customHeight="1" spans="1:4">
      <c r="A112" s="142" t="s">
        <v>153</v>
      </c>
      <c r="B112" s="143" t="s">
        <v>154</v>
      </c>
      <c r="C112" s="142" t="s">
        <v>18</v>
      </c>
      <c r="D112" s="142" t="s">
        <v>19</v>
      </c>
    </row>
    <row r="113" spans="1:4">
      <c r="A113" s="123" t="s">
        <v>42</v>
      </c>
      <c r="B113" t="s">
        <v>218</v>
      </c>
      <c r="D113" s="160">
        <f>Uniformes!G24</f>
        <v>92.4</v>
      </c>
    </row>
    <row r="114" spans="1:4">
      <c r="A114" s="123" t="s">
        <v>45</v>
      </c>
      <c r="B114" t="s">
        <v>219</v>
      </c>
      <c r="D114" s="125">
        <v>0</v>
      </c>
    </row>
    <row r="115" spans="1:4">
      <c r="A115" s="123" t="s">
        <v>48</v>
      </c>
      <c r="B115" t="s">
        <v>156</v>
      </c>
      <c r="D115" s="125">
        <v>0</v>
      </c>
    </row>
    <row r="116" spans="1:4">
      <c r="A116" s="123" t="s">
        <v>50</v>
      </c>
      <c r="B116" t="s">
        <v>157</v>
      </c>
      <c r="D116" s="125">
        <v>0</v>
      </c>
    </row>
    <row r="117" spans="1:4">
      <c r="A117" s="123" t="s">
        <v>53</v>
      </c>
      <c r="B117" t="s">
        <v>220</v>
      </c>
      <c r="C117" s="123"/>
      <c r="D117" s="184">
        <v>0</v>
      </c>
    </row>
    <row r="118" spans="1:4">
      <c r="A118" s="123" t="s">
        <v>58</v>
      </c>
      <c r="D118" s="130">
        <f>SUBTOTAL(109,Módulo562_58116[Valor])</f>
        <v>92.4</v>
      </c>
    </row>
    <row r="119" ht="15.15"/>
    <row r="120" ht="15.9" spans="1:4">
      <c r="A120" s="134" t="s">
        <v>221</v>
      </c>
      <c r="B120" s="134"/>
      <c r="C120" s="135" t="s">
        <v>202</v>
      </c>
      <c r="D120" s="136">
        <f>D31</f>
        <v>1148</v>
      </c>
    </row>
    <row r="121" ht="15.9" spans="1:4">
      <c r="A121" s="134"/>
      <c r="B121" s="134"/>
      <c r="C121" s="137" t="s">
        <v>211</v>
      </c>
      <c r="D121" s="136">
        <f>D72</f>
        <v>1365.86</v>
      </c>
    </row>
    <row r="122" ht="15.9" spans="1:4">
      <c r="A122" s="134"/>
      <c r="B122" s="134"/>
      <c r="C122" s="135" t="s">
        <v>212</v>
      </c>
      <c r="D122" s="136">
        <f>D82</f>
        <v>71.51</v>
      </c>
    </row>
    <row r="123" ht="15.9" spans="1:4">
      <c r="A123" s="134"/>
      <c r="B123" s="134"/>
      <c r="C123" s="137" t="s">
        <v>222</v>
      </c>
      <c r="D123" s="136">
        <f>D109</f>
        <v>68.44</v>
      </c>
    </row>
    <row r="124" ht="15.9" spans="1:4">
      <c r="A124" s="134"/>
      <c r="B124" s="134"/>
      <c r="C124" s="135" t="s">
        <v>223</v>
      </c>
      <c r="D124" s="136">
        <f>D118</f>
        <v>92.4</v>
      </c>
    </row>
    <row r="125" ht="15.9" spans="1:4">
      <c r="A125" s="134"/>
      <c r="B125" s="134"/>
      <c r="C125" s="137" t="s">
        <v>204</v>
      </c>
      <c r="D125" s="138">
        <f>TRUNC((SUM(D120:D124)),2)</f>
        <v>2746.21</v>
      </c>
    </row>
    <row r="126" ht="15.15"/>
    <row r="127" spans="1:4">
      <c r="A127" s="106" t="s">
        <v>164</v>
      </c>
      <c r="B127" s="106"/>
      <c r="C127" s="106"/>
      <c r="D127" s="106"/>
    </row>
    <row r="128" spans="1:7">
      <c r="A128" s="123" t="s">
        <v>165</v>
      </c>
      <c r="B128" t="s">
        <v>166</v>
      </c>
      <c r="C128" s="123" t="s">
        <v>38</v>
      </c>
      <c r="D128" s="123" t="s">
        <v>19</v>
      </c>
      <c r="F128" s="161" t="s">
        <v>224</v>
      </c>
      <c r="G128" s="161"/>
    </row>
    <row r="129" ht="15.15" spans="1:7">
      <c r="A129" s="123" t="s">
        <v>42</v>
      </c>
      <c r="B129" t="s">
        <v>167</v>
      </c>
      <c r="C129" s="162">
        <v>0.044</v>
      </c>
      <c r="D129" s="160">
        <f>TRUNC(($D$125*C129),2)</f>
        <v>120.83</v>
      </c>
      <c r="F129" s="163" t="s">
        <v>225</v>
      </c>
      <c r="G129" s="148">
        <f>C131</f>
        <v>0.0865</v>
      </c>
    </row>
    <row r="130" ht="15.15" spans="1:7">
      <c r="A130" s="123" t="s">
        <v>45</v>
      </c>
      <c r="B130" t="s">
        <v>59</v>
      </c>
      <c r="C130" s="162">
        <v>0.0413</v>
      </c>
      <c r="D130" s="160">
        <f>TRUNC((C130*(D125+D129)),2)</f>
        <v>118.4</v>
      </c>
      <c r="F130" s="164" t="s">
        <v>226</v>
      </c>
      <c r="G130" s="165">
        <f>TRUNC(SUM(D125,D129,D130),2)</f>
        <v>2985.44</v>
      </c>
    </row>
    <row r="131" spans="1:7">
      <c r="A131" s="123" t="s">
        <v>48</v>
      </c>
      <c r="B131" t="s">
        <v>168</v>
      </c>
      <c r="C131" s="162">
        <f>SUM(C132:C134)</f>
        <v>0.0865</v>
      </c>
      <c r="D131" s="185">
        <f>SUM(D132:D134)</f>
        <v>282.68</v>
      </c>
      <c r="F131" s="163" t="s">
        <v>227</v>
      </c>
      <c r="G131" s="166">
        <f>(100-8.65)/100</f>
        <v>0.9135</v>
      </c>
    </row>
    <row r="132" ht="15.15" spans="1:7">
      <c r="A132" s="123"/>
      <c r="B132" t="s">
        <v>228</v>
      </c>
      <c r="C132" s="140">
        <v>0.0065</v>
      </c>
      <c r="D132" s="125">
        <f t="shared" ref="D132:D134" si="2">TRUNC(($G$132*C132),2)</f>
        <v>21.24</v>
      </c>
      <c r="F132" s="164" t="s">
        <v>224</v>
      </c>
      <c r="G132" s="165">
        <f>TRUNC((G130/G131),2)</f>
        <v>3268.13</v>
      </c>
    </row>
    <row r="133" ht="15.15" spans="1:4">
      <c r="A133" s="123"/>
      <c r="B133" t="s">
        <v>229</v>
      </c>
      <c r="C133" s="140">
        <v>0.03</v>
      </c>
      <c r="D133" s="125">
        <f t="shared" si="2"/>
        <v>98.04</v>
      </c>
    </row>
    <row r="134" spans="1:4">
      <c r="A134" s="123"/>
      <c r="B134" t="s">
        <v>230</v>
      </c>
      <c r="C134" s="140">
        <v>0.05</v>
      </c>
      <c r="D134" s="125">
        <f t="shared" si="2"/>
        <v>163.4</v>
      </c>
    </row>
    <row r="135" spans="1:4">
      <c r="A135" s="123" t="s">
        <v>58</v>
      </c>
      <c r="B135" s="186"/>
      <c r="C135" s="167"/>
      <c r="D135" s="130">
        <f>SUM(D129:D131)</f>
        <v>521.91</v>
      </c>
    </row>
    <row r="136" spans="1:4">
      <c r="A136" s="123"/>
      <c r="C136" s="167"/>
      <c r="D136" s="130"/>
    </row>
    <row r="138" spans="1:4">
      <c r="A138" s="106" t="s">
        <v>172</v>
      </c>
      <c r="B138" s="106"/>
      <c r="C138" s="106"/>
      <c r="D138" s="106"/>
    </row>
    <row r="139" spans="1:4">
      <c r="A139" s="123" t="s">
        <v>16</v>
      </c>
      <c r="B139" s="123" t="s">
        <v>173</v>
      </c>
      <c r="C139" s="123" t="s">
        <v>102</v>
      </c>
      <c r="D139" s="123" t="s">
        <v>19</v>
      </c>
    </row>
    <row r="140" spans="1:4">
      <c r="A140" s="123" t="s">
        <v>42</v>
      </c>
      <c r="B140" t="s">
        <v>36</v>
      </c>
      <c r="D140" s="130">
        <f>D31</f>
        <v>1148</v>
      </c>
    </row>
    <row r="141" spans="1:4">
      <c r="A141" s="123" t="s">
        <v>45</v>
      </c>
      <c r="B141" t="s">
        <v>61</v>
      </c>
      <c r="D141" s="130">
        <f>D72</f>
        <v>1365.86</v>
      </c>
    </row>
    <row r="142" spans="1:4">
      <c r="A142" s="123" t="s">
        <v>48</v>
      </c>
      <c r="B142" t="s">
        <v>108</v>
      </c>
      <c r="D142" s="130">
        <f>D82</f>
        <v>71.51</v>
      </c>
    </row>
    <row r="143" spans="1:4">
      <c r="A143" s="123" t="s">
        <v>50</v>
      </c>
      <c r="B143" t="s">
        <v>174</v>
      </c>
      <c r="D143" s="130">
        <f>D109</f>
        <v>68.44</v>
      </c>
    </row>
    <row r="144" spans="1:4">
      <c r="A144" s="123" t="s">
        <v>53</v>
      </c>
      <c r="B144" t="s">
        <v>152</v>
      </c>
      <c r="D144" s="130">
        <f>D118</f>
        <v>92.4</v>
      </c>
    </row>
    <row r="145" spans="2:4">
      <c r="B145" s="168" t="s">
        <v>175</v>
      </c>
      <c r="D145" s="130">
        <f>SUM(D140:D144)</f>
        <v>2746.21</v>
      </c>
    </row>
    <row r="146" spans="1:4">
      <c r="A146" s="123" t="s">
        <v>55</v>
      </c>
      <c r="B146" t="s">
        <v>164</v>
      </c>
      <c r="D146" s="130">
        <f>D135</f>
        <v>521.91</v>
      </c>
    </row>
    <row r="147" spans="1:4">
      <c r="A147" s="169"/>
      <c r="B147" s="170" t="s">
        <v>231</v>
      </c>
      <c r="C147" s="169"/>
      <c r="D147" s="171">
        <f>TRUNC((SUM(D140:D144)+D146),2)</f>
        <v>3268.12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31" workbookViewId="0">
      <selection activeCell="A2" sqref="A2:D147"/>
    </sheetView>
  </sheetViews>
  <sheetFormatPr defaultColWidth="9.13888888888889" defaultRowHeight="14.4" outlineLevelCol="6"/>
  <cols>
    <col min="1" max="1" width="11.4722222222222" customWidth="1"/>
    <col min="2" max="2" width="48.2592592592593" customWidth="1"/>
    <col min="3" max="3" width="28.6388888888889" customWidth="1"/>
    <col min="4" max="4" width="38.1388888888889" customWidth="1"/>
    <col min="6" max="6" width="22.8611111111111" customWidth="1"/>
    <col min="7" max="7" width="11.4259259259259" customWidth="1"/>
    <col min="9" max="9" width="11.4259259259259" customWidth="1"/>
  </cols>
  <sheetData>
    <row r="2" ht="18.75" spans="1:4">
      <c r="A2" s="99" t="s">
        <v>177</v>
      </c>
      <c r="B2" s="99"/>
      <c r="C2" s="99"/>
      <c r="D2" s="99"/>
    </row>
    <row r="3" ht="15.15" spans="1:4">
      <c r="A3" s="100" t="s">
        <v>178</v>
      </c>
      <c r="B3" s="100"/>
      <c r="C3" s="100"/>
      <c r="D3" s="100"/>
    </row>
    <row r="4" spans="1:4">
      <c r="A4" s="101" t="s">
        <v>179</v>
      </c>
      <c r="B4" s="102" t="s">
        <v>180</v>
      </c>
      <c r="C4" s="103"/>
      <c r="D4" s="103"/>
    </row>
    <row r="5" spans="1:4">
      <c r="A5" s="104"/>
      <c r="B5" s="105"/>
      <c r="C5" s="105"/>
      <c r="D5" s="105"/>
    </row>
    <row r="6" ht="15.15" spans="1:4">
      <c r="A6" s="106" t="s">
        <v>181</v>
      </c>
      <c r="B6" s="106"/>
      <c r="C6" s="106"/>
      <c r="D6" s="106"/>
    </row>
    <row r="7" ht="15.15" spans="1:4">
      <c r="A7" s="107" t="s">
        <v>42</v>
      </c>
      <c r="B7" s="108" t="s">
        <v>182</v>
      </c>
      <c r="C7" s="109" t="s">
        <v>183</v>
      </c>
      <c r="D7" s="109"/>
    </row>
    <row r="8" spans="1:4">
      <c r="A8" s="110" t="s">
        <v>45</v>
      </c>
      <c r="B8" s="111" t="s">
        <v>184</v>
      </c>
      <c r="C8" s="112" t="s">
        <v>185</v>
      </c>
      <c r="D8" s="112"/>
    </row>
    <row r="9" spans="1:4">
      <c r="A9" s="113" t="s">
        <v>48</v>
      </c>
      <c r="B9" s="114" t="s">
        <v>186</v>
      </c>
      <c r="C9" s="112" t="s">
        <v>187</v>
      </c>
      <c r="D9" s="112"/>
    </row>
    <row r="10" spans="1:4">
      <c r="A10" s="110" t="s">
        <v>53</v>
      </c>
      <c r="B10" s="111" t="s">
        <v>188</v>
      </c>
      <c r="C10" s="112" t="s">
        <v>189</v>
      </c>
      <c r="D10" s="112"/>
    </row>
    <row r="11" ht="15.15" spans="1:4">
      <c r="A11" s="115" t="s">
        <v>190</v>
      </c>
      <c r="B11" s="115"/>
      <c r="C11" s="115"/>
      <c r="D11" s="115"/>
    </row>
    <row r="12" ht="15.9" spans="1:4">
      <c r="A12" s="116" t="s">
        <v>191</v>
      </c>
      <c r="B12" s="116"/>
      <c r="C12" s="115" t="s">
        <v>192</v>
      </c>
      <c r="D12" s="117" t="s">
        <v>193</v>
      </c>
    </row>
    <row r="13" ht="15.15" spans="1:4">
      <c r="A13" s="118" t="s">
        <v>232</v>
      </c>
      <c r="B13" s="118"/>
      <c r="C13" s="112" t="s">
        <v>195</v>
      </c>
      <c r="D13" s="119">
        <f>RESUMO!D4</f>
        <v>1</v>
      </c>
    </row>
    <row r="14" spans="1:4">
      <c r="A14" s="120"/>
      <c r="B14" s="120"/>
      <c r="C14" s="112"/>
      <c r="D14" s="121"/>
    </row>
    <row r="15" ht="15.15" spans="1:7">
      <c r="A15" s="115" t="s">
        <v>14</v>
      </c>
      <c r="B15" s="115"/>
      <c r="C15" s="115"/>
      <c r="D15" s="115"/>
      <c r="F15" s="122"/>
      <c r="G15" s="122"/>
    </row>
    <row r="16" ht="15.15" spans="1:4">
      <c r="A16" s="123" t="s">
        <v>16</v>
      </c>
      <c r="B16" t="s">
        <v>17</v>
      </c>
      <c r="C16" s="123" t="s">
        <v>18</v>
      </c>
      <c r="D16" s="123" t="s">
        <v>19</v>
      </c>
    </row>
    <row r="17" spans="1:4">
      <c r="A17" s="123">
        <v>1</v>
      </c>
      <c r="B17" t="s">
        <v>20</v>
      </c>
      <c r="C17" s="124" t="s">
        <v>102</v>
      </c>
      <c r="D17" s="124" t="str">
        <f>A13</f>
        <v>Copeiro(a)</v>
      </c>
    </row>
    <row r="18" spans="1:4">
      <c r="A18" s="123">
        <v>2</v>
      </c>
      <c r="B18" t="s">
        <v>23</v>
      </c>
      <c r="C18" s="124" t="s">
        <v>196</v>
      </c>
      <c r="D18" s="124" t="s">
        <v>233</v>
      </c>
    </row>
    <row r="19" spans="1:4">
      <c r="A19" s="123">
        <v>3</v>
      </c>
      <c r="B19" t="s">
        <v>26</v>
      </c>
      <c r="C19" s="124" t="str">
        <f>C9</f>
        <v>CCT PB000047/2021</v>
      </c>
      <c r="D19" s="125">
        <v>1103</v>
      </c>
    </row>
    <row r="20" spans="1:4">
      <c r="A20" s="123">
        <v>4</v>
      </c>
      <c r="B20" t="s">
        <v>29</v>
      </c>
      <c r="C20" s="124" t="str">
        <f>C9</f>
        <v>CCT PB000047/2021</v>
      </c>
      <c r="D20" s="126" t="s">
        <v>198</v>
      </c>
    </row>
    <row r="21" spans="1:4">
      <c r="A21" s="123">
        <v>5</v>
      </c>
      <c r="B21" t="s">
        <v>33</v>
      </c>
      <c r="C21" s="124" t="str">
        <f>C9</f>
        <v>CCT PB000047/2021</v>
      </c>
      <c r="D21" s="127" t="s">
        <v>199</v>
      </c>
    </row>
    <row r="22" spans="6:7">
      <c r="F22" s="122"/>
      <c r="G22" s="122"/>
    </row>
    <row r="23" spans="1:4">
      <c r="A23" s="106" t="s">
        <v>36</v>
      </c>
      <c r="B23" s="106"/>
      <c r="C23" s="106"/>
      <c r="D23" s="106"/>
    </row>
    <row r="24" spans="1:7">
      <c r="A24" s="123" t="s">
        <v>39</v>
      </c>
      <c r="B24" s="128" t="s">
        <v>40</v>
      </c>
      <c r="C24" s="123" t="s">
        <v>18</v>
      </c>
      <c r="D24" s="123" t="s">
        <v>19</v>
      </c>
      <c r="G24" s="129"/>
    </row>
    <row r="25" spans="1:7">
      <c r="A25" s="123" t="s">
        <v>42</v>
      </c>
      <c r="B25" t="s">
        <v>43</v>
      </c>
      <c r="C25" s="126" t="s">
        <v>234</v>
      </c>
      <c r="D25" s="125">
        <f>D19</f>
        <v>1103</v>
      </c>
      <c r="G25" s="129"/>
    </row>
    <row r="26" spans="1:7">
      <c r="A26" s="123" t="s">
        <v>45</v>
      </c>
      <c r="B26" t="s">
        <v>46</v>
      </c>
      <c r="C26" s="126"/>
      <c r="D26" s="141">
        <v>0</v>
      </c>
      <c r="G26" s="129"/>
    </row>
    <row r="27" spans="1:4">
      <c r="A27" s="123" t="s">
        <v>48</v>
      </c>
      <c r="B27" t="s">
        <v>49</v>
      </c>
      <c r="C27" s="126"/>
      <c r="D27" s="125">
        <v>0</v>
      </c>
    </row>
    <row r="28" spans="1:4">
      <c r="A28" s="123" t="s">
        <v>50</v>
      </c>
      <c r="B28" t="s">
        <v>51</v>
      </c>
      <c r="C28" s="126"/>
      <c r="D28" s="125">
        <v>0</v>
      </c>
    </row>
    <row r="29" spans="1:4">
      <c r="A29" s="123" t="s">
        <v>53</v>
      </c>
      <c r="B29" t="s">
        <v>54</v>
      </c>
      <c r="C29" s="126"/>
      <c r="D29" s="125">
        <v>0</v>
      </c>
    </row>
    <row r="30" spans="1:4">
      <c r="A30" s="123" t="s">
        <v>55</v>
      </c>
      <c r="B30" t="s">
        <v>56</v>
      </c>
      <c r="C30" s="126"/>
      <c r="D30" s="125">
        <v>0</v>
      </c>
    </row>
    <row r="31" spans="1:7">
      <c r="A31" s="123" t="s">
        <v>58</v>
      </c>
      <c r="C31" s="123"/>
      <c r="D31" s="130">
        <f>TRUNC(SUM(D25:D30),2)</f>
        <v>1103</v>
      </c>
      <c r="F31" s="122"/>
      <c r="G31" s="122"/>
    </row>
    <row r="33" spans="1:7">
      <c r="A33" s="131" t="s">
        <v>61</v>
      </c>
      <c r="B33" s="131"/>
      <c r="C33" s="131"/>
      <c r="D33" s="131"/>
      <c r="G33" s="129"/>
    </row>
    <row r="35" spans="1:4">
      <c r="A35" s="122" t="s">
        <v>63</v>
      </c>
      <c r="B35" s="122"/>
      <c r="C35" s="122"/>
      <c r="D35" s="122"/>
    </row>
    <row r="36" spans="1:4">
      <c r="A36" s="123" t="s">
        <v>65</v>
      </c>
      <c r="B36" s="128" t="s">
        <v>66</v>
      </c>
      <c r="C36" s="123" t="s">
        <v>38</v>
      </c>
      <c r="D36" s="123" t="s">
        <v>19</v>
      </c>
    </row>
    <row r="37" spans="1:7">
      <c r="A37" s="123" t="s">
        <v>42</v>
      </c>
      <c r="B37" t="s">
        <v>67</v>
      </c>
      <c r="C37" s="132">
        <f>(1/12)</f>
        <v>0.0833333333333333</v>
      </c>
      <c r="D37" s="130">
        <f>TRUNC($D$31*C37,2)</f>
        <v>91.91</v>
      </c>
      <c r="F37" s="133"/>
      <c r="G37" s="133"/>
    </row>
    <row r="38" spans="1:7">
      <c r="A38" s="123" t="s">
        <v>45</v>
      </c>
      <c r="B38" t="s">
        <v>68</v>
      </c>
      <c r="C38" s="132">
        <f>(((1+1/3)/12))</f>
        <v>0.111111111111111</v>
      </c>
      <c r="D38" s="130">
        <f>TRUNC($D$31*C38,2)</f>
        <v>122.55</v>
      </c>
      <c r="F38" s="133"/>
      <c r="G38" s="133"/>
    </row>
    <row r="39" spans="1:7">
      <c r="A39" s="123" t="s">
        <v>58</v>
      </c>
      <c r="D39" s="130">
        <f>TRUNC((SUM(D37:D38)),2)</f>
        <v>214.46</v>
      </c>
      <c r="F39" s="133"/>
      <c r="G39" s="133"/>
    </row>
    <row r="40" ht="15.15" spans="4:7">
      <c r="D40" s="130"/>
      <c r="F40" s="133"/>
      <c r="G40" s="133"/>
    </row>
    <row r="41" ht="15.9" spans="1:7">
      <c r="A41" s="134" t="s">
        <v>201</v>
      </c>
      <c r="B41" s="134"/>
      <c r="C41" s="135" t="s">
        <v>202</v>
      </c>
      <c r="D41" s="136">
        <f>D31</f>
        <v>1103</v>
      </c>
      <c r="F41" s="133"/>
      <c r="G41" s="133"/>
    </row>
    <row r="42" ht="15.9" spans="1:7">
      <c r="A42" s="134"/>
      <c r="B42" s="134"/>
      <c r="C42" s="137" t="s">
        <v>203</v>
      </c>
      <c r="D42" s="136">
        <f>D39</f>
        <v>214.46</v>
      </c>
      <c r="F42" s="133"/>
      <c r="G42" s="133"/>
    </row>
    <row r="43" ht="15.9" spans="1:7">
      <c r="A43" s="134"/>
      <c r="B43" s="134"/>
      <c r="C43" s="135" t="s">
        <v>204</v>
      </c>
      <c r="D43" s="138">
        <f>TRUNC((SUM(D41:D42)),2)</f>
        <v>1317.46</v>
      </c>
      <c r="F43" s="133"/>
      <c r="G43" s="133"/>
    </row>
    <row r="44" ht="15.15" spans="1:7">
      <c r="A44" s="123"/>
      <c r="C44" s="139"/>
      <c r="D44" s="130"/>
      <c r="F44" s="133"/>
      <c r="G44" s="133"/>
    </row>
    <row r="45" spans="1:4">
      <c r="A45" s="122" t="s">
        <v>77</v>
      </c>
      <c r="B45" s="122"/>
      <c r="C45" s="122"/>
      <c r="D45" s="122"/>
    </row>
    <row r="46" spans="1:4">
      <c r="A46" s="123" t="s">
        <v>78</v>
      </c>
      <c r="B46" s="128" t="s">
        <v>79</v>
      </c>
      <c r="C46" s="123" t="s">
        <v>38</v>
      </c>
      <c r="D46" s="123" t="s">
        <v>80</v>
      </c>
    </row>
    <row r="47" spans="1:4">
      <c r="A47" s="123" t="s">
        <v>42</v>
      </c>
      <c r="B47" t="s">
        <v>81</v>
      </c>
      <c r="C47" s="132">
        <v>0.2</v>
      </c>
      <c r="D47" s="130">
        <f t="shared" ref="D47:D54" si="0">TRUNC(($D$43*C47),2)</f>
        <v>263.49</v>
      </c>
    </row>
    <row r="48" spans="1:4">
      <c r="A48" s="123" t="s">
        <v>45</v>
      </c>
      <c r="B48" t="s">
        <v>82</v>
      </c>
      <c r="C48" s="132">
        <v>0.025</v>
      </c>
      <c r="D48" s="130">
        <f t="shared" si="0"/>
        <v>32.93</v>
      </c>
    </row>
    <row r="49" spans="1:4">
      <c r="A49" s="123" t="s">
        <v>48</v>
      </c>
      <c r="B49" t="s">
        <v>205</v>
      </c>
      <c r="C49" s="140">
        <v>0.06</v>
      </c>
      <c r="D49" s="125">
        <f t="shared" si="0"/>
        <v>79.04</v>
      </c>
    </row>
    <row r="50" spans="1:4">
      <c r="A50" s="123" t="s">
        <v>50</v>
      </c>
      <c r="B50" t="s">
        <v>84</v>
      </c>
      <c r="C50" s="132">
        <v>0.015</v>
      </c>
      <c r="D50" s="130">
        <f t="shared" si="0"/>
        <v>19.76</v>
      </c>
    </row>
    <row r="51" spans="1:4">
      <c r="A51" s="123" t="s">
        <v>53</v>
      </c>
      <c r="B51" t="s">
        <v>85</v>
      </c>
      <c r="C51" s="132">
        <v>0.01</v>
      </c>
      <c r="D51" s="130">
        <f t="shared" si="0"/>
        <v>13.17</v>
      </c>
    </row>
    <row r="52" spans="1:4">
      <c r="A52" s="123" t="s">
        <v>55</v>
      </c>
      <c r="B52" t="s">
        <v>86</v>
      </c>
      <c r="C52" s="132">
        <v>0.006</v>
      </c>
      <c r="D52" s="130">
        <f t="shared" si="0"/>
        <v>7.9</v>
      </c>
    </row>
    <row r="53" spans="1:4">
      <c r="A53" s="123" t="s">
        <v>87</v>
      </c>
      <c r="B53" t="s">
        <v>88</v>
      </c>
      <c r="C53" s="132">
        <v>0.002</v>
      </c>
      <c r="D53" s="130">
        <f t="shared" si="0"/>
        <v>2.63</v>
      </c>
    </row>
    <row r="54" spans="1:4">
      <c r="A54" s="123" t="s">
        <v>89</v>
      </c>
      <c r="B54" t="s">
        <v>90</v>
      </c>
      <c r="C54" s="132">
        <v>0.08</v>
      </c>
      <c r="D54" s="130">
        <f t="shared" si="0"/>
        <v>105.39</v>
      </c>
    </row>
    <row r="55" spans="1:4">
      <c r="A55" s="123" t="s">
        <v>58</v>
      </c>
      <c r="C55" s="139">
        <f>SUM(C47:C54)</f>
        <v>0.398</v>
      </c>
      <c r="D55" s="130">
        <f>TRUNC((SUM(D47:D54)),2)</f>
        <v>524.31</v>
      </c>
    </row>
    <row r="56" spans="1:4">
      <c r="A56" s="123"/>
      <c r="C56" s="139"/>
      <c r="D56" s="130"/>
    </row>
    <row r="57" spans="1:4">
      <c r="A57" s="122" t="s">
        <v>95</v>
      </c>
      <c r="B57" s="122"/>
      <c r="C57" s="122"/>
      <c r="D57" s="122"/>
    </row>
    <row r="58" spans="1:4">
      <c r="A58" s="123" t="s">
        <v>96</v>
      </c>
      <c r="B58" s="128" t="s">
        <v>97</v>
      </c>
      <c r="C58" s="123" t="s">
        <v>18</v>
      </c>
      <c r="D58" s="123" t="s">
        <v>19</v>
      </c>
    </row>
    <row r="59" spans="1:4">
      <c r="A59" s="123" t="s">
        <v>42</v>
      </c>
      <c r="B59" t="s">
        <v>98</v>
      </c>
      <c r="C59" s="124"/>
      <c r="D59" s="141">
        <f>TRUNC(((22*4.15)*2)-((D25/100)*6),2)</f>
        <v>116.42</v>
      </c>
    </row>
    <row r="60" spans="1:4">
      <c r="A60" s="123" t="s">
        <v>45</v>
      </c>
      <c r="B60" t="s">
        <v>99</v>
      </c>
      <c r="C60" s="124" t="str">
        <f>C9</f>
        <v>CCT PB000047/2021</v>
      </c>
      <c r="D60" s="125">
        <f>TRUNC((((22*18))-(((22*18))*0.2)),2)</f>
        <v>316.8</v>
      </c>
    </row>
    <row r="61" spans="1:4">
      <c r="A61" s="123" t="s">
        <v>48</v>
      </c>
      <c r="B61" t="s">
        <v>100</v>
      </c>
      <c r="C61" s="124"/>
      <c r="D61" s="125">
        <v>0</v>
      </c>
    </row>
    <row r="62" spans="1:6">
      <c r="A62" s="142" t="s">
        <v>50</v>
      </c>
      <c r="B62" s="143" t="s">
        <v>206</v>
      </c>
      <c r="C62" s="144"/>
      <c r="D62" s="144">
        <v>0</v>
      </c>
      <c r="F62" s="143"/>
    </row>
    <row r="63" spans="1:4">
      <c r="A63" s="123" t="s">
        <v>53</v>
      </c>
      <c r="B63" s="128" t="s">
        <v>207</v>
      </c>
      <c r="C63" s="124" t="str">
        <f>C60</f>
        <v>CCT PB000047/2021</v>
      </c>
      <c r="D63" s="125">
        <v>15</v>
      </c>
    </row>
    <row r="64" spans="1:4">
      <c r="A64" s="123" t="s">
        <v>55</v>
      </c>
      <c r="B64" s="145" t="s">
        <v>208</v>
      </c>
      <c r="C64" s="144" t="str">
        <f>C60</f>
        <v>CCT PB000047/2021</v>
      </c>
      <c r="D64" s="125">
        <v>5</v>
      </c>
    </row>
    <row r="65" spans="1:4">
      <c r="A65" s="123" t="s">
        <v>58</v>
      </c>
      <c r="D65" s="130">
        <f>TRUNC((SUM(D59:D64)),2)</f>
        <v>453.22</v>
      </c>
    </row>
    <row r="66" spans="1:4">
      <c r="A66" s="123"/>
      <c r="D66" s="130"/>
    </row>
    <row r="67" spans="1:4">
      <c r="A67" s="122" t="s">
        <v>105</v>
      </c>
      <c r="B67" s="122"/>
      <c r="C67" s="122"/>
      <c r="D67" s="122"/>
    </row>
    <row r="68" spans="1:4">
      <c r="A68" s="123" t="s">
        <v>106</v>
      </c>
      <c r="B68" s="128" t="s">
        <v>107</v>
      </c>
      <c r="C68" s="123" t="s">
        <v>18</v>
      </c>
      <c r="D68" s="123" t="s">
        <v>19</v>
      </c>
    </row>
    <row r="69" spans="1:4">
      <c r="A69" s="123" t="s">
        <v>65</v>
      </c>
      <c r="B69" t="s">
        <v>66</v>
      </c>
      <c r="C69" s="123"/>
      <c r="D69" s="130">
        <f>D39</f>
        <v>214.46</v>
      </c>
    </row>
    <row r="70" spans="1:4">
      <c r="A70" s="123" t="s">
        <v>78</v>
      </c>
      <c r="B70" t="s">
        <v>79</v>
      </c>
      <c r="C70" s="123"/>
      <c r="D70" s="130">
        <f>D55</f>
        <v>524.31</v>
      </c>
    </row>
    <row r="71" spans="1:4">
      <c r="A71" s="123" t="s">
        <v>96</v>
      </c>
      <c r="B71" t="s">
        <v>97</v>
      </c>
      <c r="C71" s="123"/>
      <c r="D71" s="130">
        <f>D65</f>
        <v>453.22</v>
      </c>
    </row>
    <row r="72" spans="1:4">
      <c r="A72" s="123" t="s">
        <v>58</v>
      </c>
      <c r="C72" s="123"/>
      <c r="D72" s="130">
        <f>TRUNC((SUM(D69:D71)),2)</f>
        <v>1191.99</v>
      </c>
    </row>
    <row r="74" spans="1:4">
      <c r="A74" s="106" t="s">
        <v>108</v>
      </c>
      <c r="B74" s="106"/>
      <c r="C74" s="106"/>
      <c r="D74" s="106"/>
    </row>
    <row r="75" spans="1:4">
      <c r="A75" s="123" t="s">
        <v>109</v>
      </c>
      <c r="B75" s="128" t="s">
        <v>110</v>
      </c>
      <c r="C75" s="123" t="s">
        <v>38</v>
      </c>
      <c r="D75" s="123" t="s">
        <v>19</v>
      </c>
    </row>
    <row r="76" spans="1:4">
      <c r="A76" s="123" t="s">
        <v>42</v>
      </c>
      <c r="B76" t="s">
        <v>111</v>
      </c>
      <c r="C76" s="140">
        <f>((1/12)*5%)</f>
        <v>0.00416666666666667</v>
      </c>
      <c r="D76" s="179">
        <f>TRUNC(($D$31*C76),2)</f>
        <v>4.59</v>
      </c>
    </row>
    <row r="77" spans="1:4">
      <c r="A77" s="123" t="s">
        <v>45</v>
      </c>
      <c r="B77" t="s">
        <v>112</v>
      </c>
      <c r="C77" s="146">
        <v>0.08</v>
      </c>
      <c r="D77" s="173">
        <f>TRUNC(($D$76*C77),2)</f>
        <v>0.36</v>
      </c>
    </row>
    <row r="78" spans="1:4">
      <c r="A78" s="123" t="s">
        <v>48</v>
      </c>
      <c r="B78" s="147" t="s">
        <v>113</v>
      </c>
      <c r="C78" s="148">
        <f>(0.08*0.4*0.05)</f>
        <v>0.0016</v>
      </c>
      <c r="D78" s="179">
        <f>TRUNC(($D$31*C78),2)</f>
        <v>1.76</v>
      </c>
    </row>
    <row r="79" spans="1:4">
      <c r="A79" s="123" t="s">
        <v>50</v>
      </c>
      <c r="B79" t="s">
        <v>114</v>
      </c>
      <c r="C79" s="149">
        <f>(((7/30)/12)*0.95)</f>
        <v>0.0184722222222222</v>
      </c>
      <c r="D79" s="180">
        <f>TRUNC(($D$31*C79),2)</f>
        <v>20.37</v>
      </c>
    </row>
    <row r="80" spans="1:4">
      <c r="A80" s="123" t="s">
        <v>53</v>
      </c>
      <c r="B80" s="147" t="s">
        <v>209</v>
      </c>
      <c r="C80" s="148">
        <f>C55</f>
        <v>0.398</v>
      </c>
      <c r="D80" s="179">
        <f>TRUNC(($D$79*C80),2)</f>
        <v>8.1</v>
      </c>
    </row>
    <row r="81" spans="1:4">
      <c r="A81" s="123" t="s">
        <v>55</v>
      </c>
      <c r="B81" s="147" t="s">
        <v>115</v>
      </c>
      <c r="C81" s="148">
        <f>(0.08*0.4*0.95)</f>
        <v>0.0304</v>
      </c>
      <c r="D81" s="179">
        <f>TRUNC(($D$31*C81),2)</f>
        <v>33.53</v>
      </c>
    </row>
    <row r="82" spans="1:4">
      <c r="A82" s="123" t="s">
        <v>58</v>
      </c>
      <c r="C82" s="146">
        <f>SUM(C76:C81)</f>
        <v>0.532638888888889</v>
      </c>
      <c r="D82" s="130">
        <f>TRUNC((SUM(D76:D81)),2)</f>
        <v>68.71</v>
      </c>
    </row>
    <row r="83" ht="15.15" spans="1:4">
      <c r="A83" s="123"/>
      <c r="D83" s="130"/>
    </row>
    <row r="84" ht="15.9" spans="1:4">
      <c r="A84" s="134" t="s">
        <v>210</v>
      </c>
      <c r="B84" s="134"/>
      <c r="C84" s="135" t="s">
        <v>202</v>
      </c>
      <c r="D84" s="136">
        <f>D31</f>
        <v>1103</v>
      </c>
    </row>
    <row r="85" ht="15.9" spans="1:4">
      <c r="A85" s="134"/>
      <c r="B85" s="134"/>
      <c r="C85" s="137" t="s">
        <v>211</v>
      </c>
      <c r="D85" s="136">
        <f>D72</f>
        <v>1191.99</v>
      </c>
    </row>
    <row r="86" ht="15.9" spans="1:4">
      <c r="A86" s="134"/>
      <c r="B86" s="134"/>
      <c r="C86" s="135" t="s">
        <v>212</v>
      </c>
      <c r="D86" s="136">
        <f>D82</f>
        <v>68.71</v>
      </c>
    </row>
    <row r="87" ht="15.9" spans="1:4">
      <c r="A87" s="134"/>
      <c r="B87" s="134"/>
      <c r="C87" s="137" t="s">
        <v>204</v>
      </c>
      <c r="D87" s="138">
        <f>TRUNC((SUM(D84:D86)),2)</f>
        <v>2363.7</v>
      </c>
    </row>
    <row r="88" ht="15.15" spans="1:4">
      <c r="A88" s="123"/>
      <c r="D88" s="130"/>
    </row>
    <row r="89" spans="1:4">
      <c r="A89" s="151" t="s">
        <v>127</v>
      </c>
      <c r="B89" s="151"/>
      <c r="C89" s="151"/>
      <c r="D89" s="151"/>
    </row>
    <row r="90" spans="1:4">
      <c r="A90" s="122" t="s">
        <v>128</v>
      </c>
      <c r="B90" s="122"/>
      <c r="C90" s="122"/>
      <c r="D90" s="122"/>
    </row>
    <row r="91" spans="1:4">
      <c r="A91" s="123" t="s">
        <v>129</v>
      </c>
      <c r="B91" s="128" t="s">
        <v>130</v>
      </c>
      <c r="C91" s="123" t="s">
        <v>38</v>
      </c>
      <c r="D91" s="123" t="s">
        <v>19</v>
      </c>
    </row>
    <row r="92" spans="1:4">
      <c r="A92" s="123" t="s">
        <v>42</v>
      </c>
      <c r="B92" t="s">
        <v>213</v>
      </c>
      <c r="C92" s="146">
        <f>(((1+1/3)/12)/12)+((1/12)/12)</f>
        <v>0.0162037037037037</v>
      </c>
      <c r="D92" s="130">
        <f>TRUNC(($D$87*C92),2)</f>
        <v>38.3</v>
      </c>
    </row>
    <row r="93" spans="1:4">
      <c r="A93" s="123" t="s">
        <v>45</v>
      </c>
      <c r="B93" t="s">
        <v>133</v>
      </c>
      <c r="C93" s="140">
        <f>((2/30)/12)</f>
        <v>0.00555555555555556</v>
      </c>
      <c r="D93" s="144">
        <f t="shared" ref="D92:D96" si="1">TRUNC(($D$87*C93),2)</f>
        <v>13.13</v>
      </c>
    </row>
    <row r="94" spans="1:4">
      <c r="A94" s="123" t="s">
        <v>48</v>
      </c>
      <c r="B94" t="s">
        <v>134</v>
      </c>
      <c r="C94" s="140">
        <f>((5/30)/12)*0.02</f>
        <v>0.000277777777777778</v>
      </c>
      <c r="D94" s="144">
        <f t="shared" si="1"/>
        <v>0.65</v>
      </c>
    </row>
    <row r="95" spans="1:4">
      <c r="A95" s="142" t="s">
        <v>50</v>
      </c>
      <c r="B95" s="147" t="s">
        <v>135</v>
      </c>
      <c r="C95" s="148">
        <f>((15/30)/12)*0.08</f>
        <v>0.00333333333333333</v>
      </c>
      <c r="D95" s="144">
        <f t="shared" si="1"/>
        <v>7.87</v>
      </c>
    </row>
    <row r="96" spans="1:4">
      <c r="A96" s="123" t="s">
        <v>53</v>
      </c>
      <c r="B96" t="s">
        <v>136</v>
      </c>
      <c r="C96" s="140">
        <f>((1+1/3)/12)*0.03*((4/12))</f>
        <v>0.00111111111111111</v>
      </c>
      <c r="D96" s="144">
        <f t="shared" si="1"/>
        <v>2.62</v>
      </c>
    </row>
    <row r="97" spans="1:4">
      <c r="A97" s="123" t="s">
        <v>55</v>
      </c>
      <c r="B97" s="147" t="s">
        <v>214</v>
      </c>
      <c r="C97" s="152">
        <v>0</v>
      </c>
      <c r="D97" s="144">
        <f>TRUNC($D$87*C97)</f>
        <v>0</v>
      </c>
    </row>
    <row r="98" spans="1:4">
      <c r="A98" s="123" t="s">
        <v>58</v>
      </c>
      <c r="C98" s="146">
        <f>SUM(C92:C97)</f>
        <v>0.0264814814814815</v>
      </c>
      <c r="D98" s="130">
        <f>TRUNC((SUM(D92:D97)),2)</f>
        <v>62.57</v>
      </c>
    </row>
    <row r="99" spans="1:4">
      <c r="A99" s="123"/>
      <c r="C99" s="123"/>
      <c r="D99" s="130"/>
    </row>
    <row r="100" spans="1:4">
      <c r="A100" s="122" t="s">
        <v>144</v>
      </c>
      <c r="B100" s="122"/>
      <c r="C100" s="122"/>
      <c r="D100" s="122"/>
    </row>
    <row r="101" spans="1:4">
      <c r="A101" s="123" t="s">
        <v>145</v>
      </c>
      <c r="B101" s="128" t="s">
        <v>146</v>
      </c>
      <c r="C101" s="123" t="s">
        <v>18</v>
      </c>
      <c r="D101" s="123" t="s">
        <v>19</v>
      </c>
    </row>
    <row r="102" ht="57.6" spans="1:4">
      <c r="A102" s="142" t="s">
        <v>42</v>
      </c>
      <c r="B102" s="153" t="s">
        <v>147</v>
      </c>
      <c r="C102" s="154" t="s">
        <v>215</v>
      </c>
      <c r="D102" s="181" t="s">
        <v>216</v>
      </c>
    </row>
    <row r="103" spans="1:4">
      <c r="A103" s="123" t="s">
        <v>58</v>
      </c>
      <c r="C103" s="156"/>
      <c r="D103" s="182" t="str">
        <f>D102</f>
        <v>*=TRUNCAR(($D$86/220)*(1*(365/12))/2)</v>
      </c>
    </row>
    <row r="105" spans="1:4">
      <c r="A105" s="122" t="s">
        <v>148</v>
      </c>
      <c r="B105" s="122"/>
      <c r="C105" s="122"/>
      <c r="D105" s="122"/>
    </row>
    <row r="106" spans="1:4">
      <c r="A106" s="123" t="s">
        <v>149</v>
      </c>
      <c r="B106" s="128" t="s">
        <v>150</v>
      </c>
      <c r="C106" s="123" t="s">
        <v>18</v>
      </c>
      <c r="D106" s="123" t="s">
        <v>19</v>
      </c>
    </row>
    <row r="107" spans="1:4">
      <c r="A107" s="123" t="s">
        <v>129</v>
      </c>
      <c r="B107" t="s">
        <v>130</v>
      </c>
      <c r="D107" s="125">
        <f>D98</f>
        <v>62.57</v>
      </c>
    </row>
    <row r="108" spans="1:4">
      <c r="A108" s="123" t="s">
        <v>145</v>
      </c>
      <c r="B108" t="s">
        <v>151</v>
      </c>
      <c r="C108" s="128"/>
      <c r="D108" s="158" t="str">
        <f>Submódulo4.260_42[[#Totals],[Valor]]</f>
        <v>*=TRUNCAR(($D$86/220)*(1*(365/12))/2)</v>
      </c>
    </row>
    <row r="109" ht="43.2" spans="1:4">
      <c r="A109" s="142" t="s">
        <v>58</v>
      </c>
      <c r="B109" s="143"/>
      <c r="C109" s="154" t="s">
        <v>217</v>
      </c>
      <c r="D109" s="159">
        <f>TRUNC((SUM(D107:D108)),2)</f>
        <v>62.57</v>
      </c>
    </row>
    <row r="111" spans="1:4">
      <c r="A111" s="106" t="s">
        <v>152</v>
      </c>
      <c r="B111" s="106"/>
      <c r="C111" s="106"/>
      <c r="D111" s="106"/>
    </row>
    <row r="112" spans="1:4">
      <c r="A112" s="123" t="s">
        <v>153</v>
      </c>
      <c r="B112" s="128" t="s">
        <v>154</v>
      </c>
      <c r="C112" s="123" t="s">
        <v>18</v>
      </c>
      <c r="D112" s="123" t="s">
        <v>19</v>
      </c>
    </row>
    <row r="113" spans="1:4">
      <c r="A113" s="123" t="s">
        <v>42</v>
      </c>
      <c r="B113" t="s">
        <v>218</v>
      </c>
      <c r="D113" s="160">
        <f>Uniformes!G37</f>
        <v>92.4</v>
      </c>
    </row>
    <row r="114" spans="1:4">
      <c r="A114" s="123" t="s">
        <v>45</v>
      </c>
      <c r="B114" t="s">
        <v>219</v>
      </c>
      <c r="D114" s="125">
        <v>0</v>
      </c>
    </row>
    <row r="115" spans="1:4">
      <c r="A115" s="123" t="s">
        <v>48</v>
      </c>
      <c r="B115" t="s">
        <v>156</v>
      </c>
      <c r="D115" s="125">
        <v>0</v>
      </c>
    </row>
    <row r="116" spans="1:4">
      <c r="A116" s="123" t="s">
        <v>50</v>
      </c>
      <c r="B116" t="s">
        <v>157</v>
      </c>
      <c r="D116" s="125">
        <v>0</v>
      </c>
    </row>
    <row r="117" spans="1:4">
      <c r="A117" s="123" t="s">
        <v>53</v>
      </c>
      <c r="B117" t="s">
        <v>220</v>
      </c>
      <c r="D117" s="125">
        <f>H116</f>
        <v>0</v>
      </c>
    </row>
    <row r="118" spans="1:4">
      <c r="A118" s="123" t="s">
        <v>58</v>
      </c>
      <c r="D118" s="130">
        <f>SUBTOTAL(109,Módulo562_45[Valor])</f>
        <v>92.4</v>
      </c>
    </row>
    <row r="119" ht="15.15"/>
    <row r="120" ht="15.9" spans="1:4">
      <c r="A120" s="134" t="s">
        <v>221</v>
      </c>
      <c r="B120" s="134"/>
      <c r="C120" s="135" t="s">
        <v>202</v>
      </c>
      <c r="D120" s="136">
        <f>D31</f>
        <v>1103</v>
      </c>
    </row>
    <row r="121" ht="15.9" spans="1:4">
      <c r="A121" s="134"/>
      <c r="B121" s="134"/>
      <c r="C121" s="137" t="s">
        <v>211</v>
      </c>
      <c r="D121" s="136">
        <f>D72</f>
        <v>1191.99</v>
      </c>
    </row>
    <row r="122" ht="15.9" spans="1:4">
      <c r="A122" s="134"/>
      <c r="B122" s="134"/>
      <c r="C122" s="135" t="s">
        <v>212</v>
      </c>
      <c r="D122" s="136">
        <f>D82</f>
        <v>68.71</v>
      </c>
    </row>
    <row r="123" ht="15.9" spans="1:4">
      <c r="A123" s="134"/>
      <c r="B123" s="134"/>
      <c r="C123" s="137" t="s">
        <v>222</v>
      </c>
      <c r="D123" s="136">
        <f>D109</f>
        <v>62.57</v>
      </c>
    </row>
    <row r="124" ht="15.9" spans="1:4">
      <c r="A124" s="134"/>
      <c r="B124" s="134"/>
      <c r="C124" s="135" t="s">
        <v>223</v>
      </c>
      <c r="D124" s="136">
        <f>D118</f>
        <v>92.4</v>
      </c>
    </row>
    <row r="125" ht="15.9" spans="1:4">
      <c r="A125" s="134"/>
      <c r="B125" s="134"/>
      <c r="C125" s="137" t="s">
        <v>204</v>
      </c>
      <c r="D125" s="138">
        <f>TRUNC((SUM(D120:D124)),2)</f>
        <v>2518.67</v>
      </c>
    </row>
    <row r="126" ht="15.15"/>
    <row r="127" spans="1:4">
      <c r="A127" s="106" t="s">
        <v>164</v>
      </c>
      <c r="B127" s="106"/>
      <c r="C127" s="106"/>
      <c r="D127" s="106"/>
    </row>
    <row r="128" spans="1:7">
      <c r="A128" s="123" t="s">
        <v>165</v>
      </c>
      <c r="B128" t="s">
        <v>166</v>
      </c>
      <c r="C128" s="123" t="s">
        <v>38</v>
      </c>
      <c r="D128" s="123" t="s">
        <v>19</v>
      </c>
      <c r="F128" s="161" t="s">
        <v>224</v>
      </c>
      <c r="G128" s="161"/>
    </row>
    <row r="129" ht="15.15" spans="1:7">
      <c r="A129" s="123" t="s">
        <v>42</v>
      </c>
      <c r="B129" t="s">
        <v>167</v>
      </c>
      <c r="C129" s="162">
        <v>0.044</v>
      </c>
      <c r="D129" s="160">
        <f>TRUNC(($D$125*C129),2)</f>
        <v>110.82</v>
      </c>
      <c r="F129" s="163" t="s">
        <v>225</v>
      </c>
      <c r="G129" s="148">
        <f>C131</f>
        <v>0.0865</v>
      </c>
    </row>
    <row r="130" ht="15.15" spans="1:7">
      <c r="A130" s="123" t="s">
        <v>45</v>
      </c>
      <c r="B130" t="s">
        <v>59</v>
      </c>
      <c r="C130" s="162">
        <v>0.0413</v>
      </c>
      <c r="D130" s="160">
        <f>TRUNC((C130*(D125+D129)),2)</f>
        <v>108.59</v>
      </c>
      <c r="F130" s="164" t="s">
        <v>226</v>
      </c>
      <c r="G130" s="165">
        <f>TRUNC(SUM(D125,D129,D130),2)</f>
        <v>2738.08</v>
      </c>
    </row>
    <row r="131" spans="1:7">
      <c r="A131" s="123" t="s">
        <v>48</v>
      </c>
      <c r="B131" t="s">
        <v>168</v>
      </c>
      <c r="C131" s="140">
        <f>SUM(C132:C134)</f>
        <v>0.0865</v>
      </c>
      <c r="D131" s="125">
        <f>TRUNC((SUM(D132:D134)),2)</f>
        <v>259.26</v>
      </c>
      <c r="F131" s="163" t="s">
        <v>227</v>
      </c>
      <c r="G131" s="166">
        <f>(100-8.65)/100</f>
        <v>0.9135</v>
      </c>
    </row>
    <row r="132" ht="15.15" spans="1:7">
      <c r="A132" s="123"/>
      <c r="B132" t="s">
        <v>228</v>
      </c>
      <c r="C132" s="140">
        <v>0.0065</v>
      </c>
      <c r="D132" s="125">
        <f t="shared" ref="D132:D134" si="2">TRUNC(($G$132*C132),2)</f>
        <v>19.48</v>
      </c>
      <c r="F132" s="164" t="s">
        <v>224</v>
      </c>
      <c r="G132" s="165">
        <f>TRUNC((G130/G131),2)</f>
        <v>2997.35</v>
      </c>
    </row>
    <row r="133" ht="15.15" spans="1:4">
      <c r="A133" s="123"/>
      <c r="B133" t="s">
        <v>229</v>
      </c>
      <c r="C133" s="140">
        <v>0.03</v>
      </c>
      <c r="D133" s="125">
        <f t="shared" si="2"/>
        <v>89.92</v>
      </c>
    </row>
    <row r="134" spans="1:4">
      <c r="A134" s="123"/>
      <c r="B134" t="s">
        <v>230</v>
      </c>
      <c r="C134" s="140">
        <v>0.05</v>
      </c>
      <c r="D134" s="125">
        <f t="shared" si="2"/>
        <v>149.86</v>
      </c>
    </row>
    <row r="135" spans="1:4">
      <c r="A135" s="123" t="s">
        <v>58</v>
      </c>
      <c r="C135" s="167"/>
      <c r="D135" s="130">
        <f>TRUNC(SUM(D129:D131),2)</f>
        <v>478.67</v>
      </c>
    </row>
    <row r="136" spans="1:4">
      <c r="A136" s="123"/>
      <c r="C136" s="167"/>
      <c r="D136" s="130"/>
    </row>
    <row r="138" spans="1:4">
      <c r="A138" s="106" t="s">
        <v>172</v>
      </c>
      <c r="B138" s="106"/>
      <c r="C138" s="106"/>
      <c r="D138" s="106"/>
    </row>
    <row r="139" spans="1:4">
      <c r="A139" s="123" t="s">
        <v>16</v>
      </c>
      <c r="B139" s="123" t="s">
        <v>173</v>
      </c>
      <c r="C139" s="123" t="s">
        <v>102</v>
      </c>
      <c r="D139" s="123" t="s">
        <v>19</v>
      </c>
    </row>
    <row r="140" spans="1:4">
      <c r="A140" s="123" t="s">
        <v>42</v>
      </c>
      <c r="B140" t="s">
        <v>36</v>
      </c>
      <c r="D140" s="130">
        <f>D31</f>
        <v>1103</v>
      </c>
    </row>
    <row r="141" spans="1:4">
      <c r="A141" s="123" t="s">
        <v>45</v>
      </c>
      <c r="B141" t="s">
        <v>61</v>
      </c>
      <c r="D141" s="130">
        <f>D72</f>
        <v>1191.99</v>
      </c>
    </row>
    <row r="142" spans="1:4">
      <c r="A142" s="123" t="s">
        <v>48</v>
      </c>
      <c r="B142" t="s">
        <v>108</v>
      </c>
      <c r="D142" s="130">
        <f>D82</f>
        <v>68.71</v>
      </c>
    </row>
    <row r="143" spans="1:4">
      <c r="A143" s="123" t="s">
        <v>50</v>
      </c>
      <c r="B143" t="s">
        <v>174</v>
      </c>
      <c r="D143" s="130">
        <f>D109</f>
        <v>62.57</v>
      </c>
    </row>
    <row r="144" spans="1:4">
      <c r="A144" s="123" t="s">
        <v>53</v>
      </c>
      <c r="B144" t="s">
        <v>152</v>
      </c>
      <c r="D144" s="130">
        <f>D118</f>
        <v>92.4</v>
      </c>
    </row>
    <row r="145" spans="2:4">
      <c r="B145" s="168" t="s">
        <v>175</v>
      </c>
      <c r="D145" s="130">
        <f>SUM(D140:D144)</f>
        <v>2518.67</v>
      </c>
    </row>
    <row r="146" spans="1:4">
      <c r="A146" s="123" t="s">
        <v>55</v>
      </c>
      <c r="B146" t="s">
        <v>164</v>
      </c>
      <c r="D146" s="130">
        <f>D135</f>
        <v>478.67</v>
      </c>
    </row>
    <row r="147" spans="1:4">
      <c r="A147" s="169"/>
      <c r="B147" s="170" t="s">
        <v>231</v>
      </c>
      <c r="C147" s="169"/>
      <c r="D147" s="171">
        <f>TRUNC((SUM(D140:D144)+D146),2)</f>
        <v>2997.34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34" workbookViewId="0">
      <selection activeCell="D60" sqref="D60"/>
    </sheetView>
  </sheetViews>
  <sheetFormatPr defaultColWidth="9.13888888888889" defaultRowHeight="14.4" outlineLevelCol="6"/>
  <cols>
    <col min="1" max="1" width="10.7777777777778" customWidth="1"/>
    <col min="2" max="2" width="44.5555555555556" customWidth="1"/>
    <col min="3" max="3" width="24" customWidth="1"/>
    <col min="4" max="4" width="37.4259259259259" customWidth="1"/>
    <col min="6" max="6" width="22.8611111111111" customWidth="1"/>
    <col min="7" max="7" width="13.4259259259259" customWidth="1"/>
    <col min="8" max="8" width="11" customWidth="1"/>
    <col min="9" max="9" width="11.4259259259259" customWidth="1"/>
  </cols>
  <sheetData>
    <row r="2" ht="18.75" spans="1:4">
      <c r="A2" s="99" t="s">
        <v>177</v>
      </c>
      <c r="B2" s="99"/>
      <c r="C2" s="99"/>
      <c r="D2" s="99"/>
    </row>
    <row r="3" ht="15.15" spans="1:4">
      <c r="A3" s="100" t="s">
        <v>178</v>
      </c>
      <c r="B3" s="100"/>
      <c r="C3" s="100"/>
      <c r="D3" s="100"/>
    </row>
    <row r="4" spans="1:4">
      <c r="A4" s="101" t="s">
        <v>179</v>
      </c>
      <c r="B4" s="102" t="s">
        <v>180</v>
      </c>
      <c r="C4" s="103"/>
      <c r="D4" s="103"/>
    </row>
    <row r="5" spans="1:4">
      <c r="A5" s="104"/>
      <c r="B5" s="105"/>
      <c r="C5" s="105"/>
      <c r="D5" s="105"/>
    </row>
    <row r="6" ht="15.15" spans="1:4">
      <c r="A6" s="106" t="s">
        <v>181</v>
      </c>
      <c r="B6" s="106"/>
      <c r="C6" s="106"/>
      <c r="D6" s="106"/>
    </row>
    <row r="7" ht="15.15" spans="1:4">
      <c r="A7" s="107" t="s">
        <v>42</v>
      </c>
      <c r="B7" s="108" t="s">
        <v>182</v>
      </c>
      <c r="C7" s="109" t="s">
        <v>183</v>
      </c>
      <c r="D7" s="109"/>
    </row>
    <row r="8" spans="1:4">
      <c r="A8" s="110" t="s">
        <v>45</v>
      </c>
      <c r="B8" s="111" t="s">
        <v>184</v>
      </c>
      <c r="C8" s="112" t="s">
        <v>185</v>
      </c>
      <c r="D8" s="112"/>
    </row>
    <row r="9" spans="1:4">
      <c r="A9" s="113" t="s">
        <v>48</v>
      </c>
      <c r="B9" s="114" t="s">
        <v>186</v>
      </c>
      <c r="C9" s="112" t="s">
        <v>187</v>
      </c>
      <c r="D9" s="112"/>
    </row>
    <row r="10" spans="1:4">
      <c r="A10" s="110" t="s">
        <v>53</v>
      </c>
      <c r="B10" s="111" t="s">
        <v>188</v>
      </c>
      <c r="C10" s="112" t="s">
        <v>189</v>
      </c>
      <c r="D10" s="112"/>
    </row>
    <row r="11" ht="15.15" spans="1:4">
      <c r="A11" s="115" t="s">
        <v>190</v>
      </c>
      <c r="B11" s="115"/>
      <c r="C11" s="115"/>
      <c r="D11" s="115"/>
    </row>
    <row r="12" ht="15.9" spans="1:4">
      <c r="A12" s="116" t="s">
        <v>191</v>
      </c>
      <c r="B12" s="116"/>
      <c r="C12" s="115" t="s">
        <v>192</v>
      </c>
      <c r="D12" s="117" t="s">
        <v>193</v>
      </c>
    </row>
    <row r="13" ht="15.15" spans="1:4">
      <c r="A13" s="118" t="s">
        <v>235</v>
      </c>
      <c r="B13" s="118"/>
      <c r="C13" s="112" t="s">
        <v>236</v>
      </c>
      <c r="D13" s="119">
        <f>RESUMO!D5</f>
        <v>1</v>
      </c>
    </row>
    <row r="14" spans="1:4">
      <c r="A14" s="120"/>
      <c r="B14" s="120"/>
      <c r="C14" s="112"/>
      <c r="D14" s="121"/>
    </row>
    <row r="15" ht="15.15" spans="1:7">
      <c r="A15" s="115" t="s">
        <v>14</v>
      </c>
      <c r="B15" s="115"/>
      <c r="C15" s="115"/>
      <c r="D15" s="115"/>
      <c r="F15" s="122"/>
      <c r="G15" s="122"/>
    </row>
    <row r="16" ht="15.15" spans="1:4">
      <c r="A16" s="123" t="s">
        <v>16</v>
      </c>
      <c r="B16" t="s">
        <v>17</v>
      </c>
      <c r="C16" s="123" t="s">
        <v>18</v>
      </c>
      <c r="D16" s="123" t="s">
        <v>19</v>
      </c>
    </row>
    <row r="17" spans="1:6">
      <c r="A17" s="123">
        <v>1</v>
      </c>
      <c r="B17" t="s">
        <v>20</v>
      </c>
      <c r="C17" s="124" t="s">
        <v>102</v>
      </c>
      <c r="D17" s="124" t="str">
        <f>A13</f>
        <v>Agente de Portaria</v>
      </c>
      <c r="F17" s="172"/>
    </row>
    <row r="18" spans="1:4">
      <c r="A18" s="123">
        <v>2</v>
      </c>
      <c r="B18" t="s">
        <v>23</v>
      </c>
      <c r="C18" s="124" t="s">
        <v>196</v>
      </c>
      <c r="D18" s="124" t="s">
        <v>237</v>
      </c>
    </row>
    <row r="19" spans="1:4">
      <c r="A19" s="123">
        <v>3</v>
      </c>
      <c r="B19" t="s">
        <v>26</v>
      </c>
      <c r="C19" s="124" t="str">
        <f>C9</f>
        <v>CCT PB000047/2021</v>
      </c>
      <c r="D19" s="125">
        <v>1124</v>
      </c>
    </row>
    <row r="20" spans="1:4">
      <c r="A20" s="123">
        <v>4</v>
      </c>
      <c r="B20" t="s">
        <v>29</v>
      </c>
      <c r="C20" s="124" t="str">
        <f>C9</f>
        <v>CCT PB000047/2021</v>
      </c>
      <c r="D20" s="126" t="s">
        <v>198</v>
      </c>
    </row>
    <row r="21" spans="1:4">
      <c r="A21" s="123">
        <v>5</v>
      </c>
      <c r="B21" t="s">
        <v>33</v>
      </c>
      <c r="C21" s="124" t="str">
        <f>C9</f>
        <v>CCT PB000047/2021</v>
      </c>
      <c r="D21" s="127" t="s">
        <v>199</v>
      </c>
    </row>
    <row r="22" spans="6:7">
      <c r="F22" s="122"/>
      <c r="G22" s="122"/>
    </row>
    <row r="23" spans="1:4">
      <c r="A23" s="106" t="s">
        <v>36</v>
      </c>
      <c r="B23" s="106"/>
      <c r="C23" s="106"/>
      <c r="D23" s="106"/>
    </row>
    <row r="24" spans="1:7">
      <c r="A24" s="123" t="s">
        <v>39</v>
      </c>
      <c r="B24" s="128" t="s">
        <v>40</v>
      </c>
      <c r="C24" s="123" t="s">
        <v>18</v>
      </c>
      <c r="D24" s="123" t="s">
        <v>19</v>
      </c>
      <c r="G24" s="129"/>
    </row>
    <row r="25" spans="1:7">
      <c r="A25" s="123" t="s">
        <v>42</v>
      </c>
      <c r="B25" t="s">
        <v>43</v>
      </c>
      <c r="C25" s="126" t="s">
        <v>238</v>
      </c>
      <c r="D25" s="125">
        <f>D19</f>
        <v>1124</v>
      </c>
      <c r="G25" s="129"/>
    </row>
    <row r="26" spans="1:7">
      <c r="A26" s="123" t="s">
        <v>45</v>
      </c>
      <c r="B26" t="s">
        <v>46</v>
      </c>
      <c r="C26" s="126"/>
      <c r="D26" s="125">
        <v>0</v>
      </c>
      <c r="G26" s="129"/>
    </row>
    <row r="27" spans="1:4">
      <c r="A27" s="123" t="s">
        <v>48</v>
      </c>
      <c r="B27" t="s">
        <v>49</v>
      </c>
      <c r="C27" s="126"/>
      <c r="D27" s="125">
        <v>0</v>
      </c>
    </row>
    <row r="28" spans="1:4">
      <c r="A28" s="123" t="s">
        <v>50</v>
      </c>
      <c r="B28" t="s">
        <v>51</v>
      </c>
      <c r="C28" s="126"/>
      <c r="D28" s="125">
        <v>0</v>
      </c>
    </row>
    <row r="29" spans="1:4">
      <c r="A29" s="123" t="s">
        <v>53</v>
      </c>
      <c r="B29" t="s">
        <v>54</v>
      </c>
      <c r="C29" s="126"/>
      <c r="D29" s="125">
        <v>0</v>
      </c>
    </row>
    <row r="30" spans="1:4">
      <c r="A30" s="123" t="s">
        <v>55</v>
      </c>
      <c r="B30" t="s">
        <v>56</v>
      </c>
      <c r="C30" s="126"/>
      <c r="D30" s="125">
        <v>0</v>
      </c>
    </row>
    <row r="31" spans="1:7">
      <c r="A31" s="123" t="s">
        <v>58</v>
      </c>
      <c r="C31" s="123"/>
      <c r="D31" s="130">
        <f>TRUNC((SUM(D25:D30)),2)</f>
        <v>1124</v>
      </c>
      <c r="F31" s="122"/>
      <c r="G31" s="122"/>
    </row>
    <row r="33" spans="1:7">
      <c r="A33" s="131" t="s">
        <v>61</v>
      </c>
      <c r="B33" s="131"/>
      <c r="C33" s="131"/>
      <c r="D33" s="131"/>
      <c r="G33" s="129"/>
    </row>
    <row r="35" spans="1:4">
      <c r="A35" s="122" t="s">
        <v>63</v>
      </c>
      <c r="B35" s="122"/>
      <c r="C35" s="122"/>
      <c r="D35" s="122"/>
    </row>
    <row r="36" spans="1:4">
      <c r="A36" s="123" t="s">
        <v>65</v>
      </c>
      <c r="B36" s="128" t="s">
        <v>66</v>
      </c>
      <c r="C36" s="123" t="s">
        <v>38</v>
      </c>
      <c r="D36" s="123" t="s">
        <v>19</v>
      </c>
    </row>
    <row r="37" spans="1:7">
      <c r="A37" s="123" t="s">
        <v>42</v>
      </c>
      <c r="B37" t="s">
        <v>67</v>
      </c>
      <c r="C37" s="132">
        <f>(1/12)</f>
        <v>0.0833333333333333</v>
      </c>
      <c r="D37" s="130">
        <f>TRUNC($D$31*C37,2)</f>
        <v>93.66</v>
      </c>
      <c r="F37" s="133"/>
      <c r="G37" s="133"/>
    </row>
    <row r="38" spans="1:7">
      <c r="A38" s="123" t="s">
        <v>45</v>
      </c>
      <c r="B38" t="s">
        <v>68</v>
      </c>
      <c r="C38" s="132">
        <f>(((1+1/3)/12))</f>
        <v>0.111111111111111</v>
      </c>
      <c r="D38" s="130">
        <f>TRUNC($D$31*C38,2)</f>
        <v>124.88</v>
      </c>
      <c r="F38" s="133"/>
      <c r="G38" s="133"/>
    </row>
    <row r="39" spans="1:7">
      <c r="A39" s="123" t="s">
        <v>58</v>
      </c>
      <c r="D39" s="130">
        <f>TRUNC((SUM(D37:D38)),2)</f>
        <v>218.54</v>
      </c>
      <c r="F39" s="133"/>
      <c r="G39" s="133"/>
    </row>
    <row r="40" ht="15.15" spans="4:7">
      <c r="D40" s="130"/>
      <c r="F40" s="133"/>
      <c r="G40" s="133"/>
    </row>
    <row r="41" ht="15.9" spans="1:7">
      <c r="A41" s="134" t="s">
        <v>201</v>
      </c>
      <c r="B41" s="134"/>
      <c r="C41" s="135" t="s">
        <v>202</v>
      </c>
      <c r="D41" s="136">
        <f>D31</f>
        <v>1124</v>
      </c>
      <c r="F41" s="133"/>
      <c r="G41" s="133"/>
    </row>
    <row r="42" ht="15.9" spans="1:7">
      <c r="A42" s="134"/>
      <c r="B42" s="134"/>
      <c r="C42" s="137" t="s">
        <v>203</v>
      </c>
      <c r="D42" s="136">
        <f>D39</f>
        <v>218.54</v>
      </c>
      <c r="F42" s="133"/>
      <c r="G42" s="133"/>
    </row>
    <row r="43" ht="15.9" spans="1:7">
      <c r="A43" s="134"/>
      <c r="B43" s="134"/>
      <c r="C43" s="135" t="s">
        <v>204</v>
      </c>
      <c r="D43" s="138">
        <f>TRUNC(SUM(D41:D42),2)</f>
        <v>1342.54</v>
      </c>
      <c r="F43" s="133"/>
      <c r="G43" s="133"/>
    </row>
    <row r="44" ht="15.15" spans="1:7">
      <c r="A44" s="123"/>
      <c r="C44" s="139"/>
      <c r="D44" s="130"/>
      <c r="F44" s="133"/>
      <c r="G44" s="133"/>
    </row>
    <row r="45" spans="1:4">
      <c r="A45" s="122" t="s">
        <v>77</v>
      </c>
      <c r="B45" s="122"/>
      <c r="C45" s="122"/>
      <c r="D45" s="122"/>
    </row>
    <row r="46" spans="1:4">
      <c r="A46" s="123" t="s">
        <v>78</v>
      </c>
      <c r="B46" s="128" t="s">
        <v>79</v>
      </c>
      <c r="C46" s="123" t="s">
        <v>38</v>
      </c>
      <c r="D46" s="123" t="s">
        <v>80</v>
      </c>
    </row>
    <row r="47" spans="1:4">
      <c r="A47" s="123" t="s">
        <v>42</v>
      </c>
      <c r="B47" t="s">
        <v>81</v>
      </c>
      <c r="C47" s="132">
        <v>0.2</v>
      </c>
      <c r="D47" s="173">
        <f t="shared" ref="D47:D54" si="0">TRUNC(($D$43*C47),2)</f>
        <v>268.5</v>
      </c>
    </row>
    <row r="48" spans="1:4">
      <c r="A48" s="123" t="s">
        <v>45</v>
      </c>
      <c r="B48" t="s">
        <v>82</v>
      </c>
      <c r="C48" s="132">
        <v>0.025</v>
      </c>
      <c r="D48" s="173">
        <f t="shared" si="0"/>
        <v>33.56</v>
      </c>
    </row>
    <row r="49" spans="1:4">
      <c r="A49" s="123" t="s">
        <v>48</v>
      </c>
      <c r="B49" t="s">
        <v>205</v>
      </c>
      <c r="C49" s="140">
        <v>0.06</v>
      </c>
      <c r="D49" s="173">
        <f t="shared" si="0"/>
        <v>80.55</v>
      </c>
    </row>
    <row r="50" spans="1:4">
      <c r="A50" s="123" t="s">
        <v>50</v>
      </c>
      <c r="B50" t="s">
        <v>84</v>
      </c>
      <c r="C50" s="132">
        <v>0.015</v>
      </c>
      <c r="D50" s="173">
        <f t="shared" si="0"/>
        <v>20.13</v>
      </c>
    </row>
    <row r="51" spans="1:4">
      <c r="A51" s="123" t="s">
        <v>53</v>
      </c>
      <c r="B51" t="s">
        <v>85</v>
      </c>
      <c r="C51" s="132">
        <v>0.01</v>
      </c>
      <c r="D51" s="173">
        <f t="shared" si="0"/>
        <v>13.42</v>
      </c>
    </row>
    <row r="52" spans="1:4">
      <c r="A52" s="123" t="s">
        <v>55</v>
      </c>
      <c r="B52" t="s">
        <v>86</v>
      </c>
      <c r="C52" s="132">
        <v>0.006</v>
      </c>
      <c r="D52" s="173">
        <f t="shared" si="0"/>
        <v>8.05</v>
      </c>
    </row>
    <row r="53" spans="1:4">
      <c r="A53" s="123" t="s">
        <v>87</v>
      </c>
      <c r="B53" t="s">
        <v>88</v>
      </c>
      <c r="C53" s="132">
        <v>0.002</v>
      </c>
      <c r="D53" s="173">
        <f t="shared" si="0"/>
        <v>2.68</v>
      </c>
    </row>
    <row r="54" spans="1:4">
      <c r="A54" s="123" t="s">
        <v>89</v>
      </c>
      <c r="B54" t="s">
        <v>90</v>
      </c>
      <c r="C54" s="132">
        <v>0.08</v>
      </c>
      <c r="D54" s="173">
        <f t="shared" si="0"/>
        <v>107.4</v>
      </c>
    </row>
    <row r="55" spans="1:4">
      <c r="A55" s="123" t="s">
        <v>58</v>
      </c>
      <c r="C55" s="139">
        <f>SUM(C47:C54)</f>
        <v>0.398</v>
      </c>
      <c r="D55" s="130">
        <f>TRUNC((SUM(D47:D54)),2)</f>
        <v>534.29</v>
      </c>
    </row>
    <row r="56" spans="1:4">
      <c r="A56" s="123"/>
      <c r="C56" s="139"/>
      <c r="D56" s="130"/>
    </row>
    <row r="57" spans="1:4">
      <c r="A57" s="122" t="s">
        <v>95</v>
      </c>
      <c r="B57" s="122"/>
      <c r="C57" s="122"/>
      <c r="D57" s="122"/>
    </row>
    <row r="58" spans="1:4">
      <c r="A58" s="123" t="s">
        <v>96</v>
      </c>
      <c r="B58" s="128" t="s">
        <v>97</v>
      </c>
      <c r="C58" s="123" t="s">
        <v>18</v>
      </c>
      <c r="D58" s="123" t="s">
        <v>19</v>
      </c>
    </row>
    <row r="59" spans="1:4">
      <c r="A59" s="123" t="s">
        <v>42</v>
      </c>
      <c r="B59" t="s">
        <v>98</v>
      </c>
      <c r="C59" s="124"/>
      <c r="D59" s="141">
        <f>TRUNC((((365/12/2)*4.15)*2)-((D25/100)*6),2)</f>
        <v>58.78</v>
      </c>
    </row>
    <row r="60" spans="1:4">
      <c r="A60" s="123" t="s">
        <v>45</v>
      </c>
      <c r="B60" t="s">
        <v>99</v>
      </c>
      <c r="C60" s="124" t="str">
        <f>C9</f>
        <v>CCT PB000047/2021</v>
      </c>
      <c r="D60" s="125">
        <f>TRUNC((((22*18))-(((22*18))*0.2)),2)</f>
        <v>316.8</v>
      </c>
    </row>
    <row r="61" spans="1:4">
      <c r="A61" s="123" t="s">
        <v>48</v>
      </c>
      <c r="B61" t="s">
        <v>100</v>
      </c>
      <c r="C61" s="124"/>
      <c r="D61" s="125">
        <v>0</v>
      </c>
    </row>
    <row r="62" spans="1:6">
      <c r="A62" s="142" t="s">
        <v>50</v>
      </c>
      <c r="B62" s="143" t="s">
        <v>206</v>
      </c>
      <c r="C62" s="144"/>
      <c r="D62" s="144">
        <f>TRUNC(((((($D$25+$D$26+$D$28+$D$29)/220)*1.5)*(365/12))/2),2)</f>
        <v>116.55</v>
      </c>
      <c r="F62" s="143"/>
    </row>
    <row r="63" spans="1:4">
      <c r="A63" s="123" t="s">
        <v>53</v>
      </c>
      <c r="B63" s="128" t="s">
        <v>207</v>
      </c>
      <c r="C63" s="124" t="str">
        <f>C60</f>
        <v>CCT PB000047/2021</v>
      </c>
      <c r="D63" s="125">
        <v>15</v>
      </c>
    </row>
    <row r="64" spans="1:4">
      <c r="A64" s="123" t="s">
        <v>55</v>
      </c>
      <c r="B64" s="145" t="s">
        <v>208</v>
      </c>
      <c r="C64" s="144" t="str">
        <f>C60</f>
        <v>CCT PB000047/2021</v>
      </c>
      <c r="D64" s="125">
        <v>5</v>
      </c>
    </row>
    <row r="65" spans="1:4">
      <c r="A65" s="123" t="s">
        <v>58</v>
      </c>
      <c r="D65" s="130">
        <f>TRUNC((SUM(D59:D64)),2)</f>
        <v>512.13</v>
      </c>
    </row>
    <row r="66" spans="1:4">
      <c r="A66" s="123"/>
      <c r="D66" s="130"/>
    </row>
    <row r="67" spans="1:4">
      <c r="A67" s="122" t="s">
        <v>105</v>
      </c>
      <c r="B67" s="122"/>
      <c r="C67" s="122"/>
      <c r="D67" s="122"/>
    </row>
    <row r="68" spans="1:4">
      <c r="A68" s="123" t="s">
        <v>106</v>
      </c>
      <c r="B68" s="128" t="s">
        <v>107</v>
      </c>
      <c r="C68" s="123" t="s">
        <v>18</v>
      </c>
      <c r="D68" s="123" t="s">
        <v>19</v>
      </c>
    </row>
    <row r="69" spans="1:4">
      <c r="A69" s="123" t="s">
        <v>65</v>
      </c>
      <c r="B69" t="s">
        <v>66</v>
      </c>
      <c r="C69" s="123"/>
      <c r="D69" s="130">
        <f>D39</f>
        <v>218.54</v>
      </c>
    </row>
    <row r="70" spans="1:4">
      <c r="A70" s="123" t="s">
        <v>78</v>
      </c>
      <c r="B70" t="s">
        <v>79</v>
      </c>
      <c r="C70" s="123"/>
      <c r="D70" s="130">
        <f>D55</f>
        <v>534.29</v>
      </c>
    </row>
    <row r="71" spans="1:4">
      <c r="A71" s="123" t="s">
        <v>96</v>
      </c>
      <c r="B71" t="s">
        <v>97</v>
      </c>
      <c r="C71" s="123"/>
      <c r="D71" s="130">
        <f>D65</f>
        <v>512.13</v>
      </c>
    </row>
    <row r="72" spans="1:4">
      <c r="A72" s="123" t="s">
        <v>58</v>
      </c>
      <c r="C72" s="123"/>
      <c r="D72" s="130">
        <f>TRUNC((SUM(D69:D71)),2)</f>
        <v>1264.96</v>
      </c>
    </row>
    <row r="74" spans="1:4">
      <c r="A74" s="106" t="s">
        <v>108</v>
      </c>
      <c r="B74" s="106"/>
      <c r="C74" s="106"/>
      <c r="D74" s="106"/>
    </row>
    <row r="75" spans="1:4">
      <c r="A75" s="123" t="s">
        <v>109</v>
      </c>
      <c r="B75" s="128" t="s">
        <v>110</v>
      </c>
      <c r="C75" s="123" t="s">
        <v>38</v>
      </c>
      <c r="D75" s="123" t="s">
        <v>19</v>
      </c>
    </row>
    <row r="76" spans="1:4">
      <c r="A76" s="123" t="s">
        <v>42</v>
      </c>
      <c r="B76" t="s">
        <v>111</v>
      </c>
      <c r="C76" s="140">
        <f>((1/12)*5%)</f>
        <v>0.00416666666666667</v>
      </c>
      <c r="D76" s="125">
        <f>TRUNC(($D$31*C76),2)</f>
        <v>4.68</v>
      </c>
    </row>
    <row r="77" spans="1:4">
      <c r="A77" s="123" t="s">
        <v>45</v>
      </c>
      <c r="B77" t="s">
        <v>112</v>
      </c>
      <c r="C77" s="146">
        <v>0.08</v>
      </c>
      <c r="D77" s="130">
        <f>TRUNC(($D$76*C77),2)</f>
        <v>0.37</v>
      </c>
    </row>
    <row r="78" spans="1:4">
      <c r="A78" s="123" t="s">
        <v>48</v>
      </c>
      <c r="B78" s="147" t="s">
        <v>113</v>
      </c>
      <c r="C78" s="148">
        <f>(0.08*0.4*0.05)</f>
        <v>0.0016</v>
      </c>
      <c r="D78" s="144">
        <f>TRUNC(($D$31*C78),2)</f>
        <v>1.79</v>
      </c>
    </row>
    <row r="79" spans="1:4">
      <c r="A79" s="123" t="s">
        <v>50</v>
      </c>
      <c r="B79" t="s">
        <v>114</v>
      </c>
      <c r="C79" s="149">
        <f>(((7/30)/12)*0.95)</f>
        <v>0.0184722222222222</v>
      </c>
      <c r="D79" s="150">
        <f>TRUNC(($D$31*C79),2)</f>
        <v>20.76</v>
      </c>
    </row>
    <row r="80" ht="28.8" spans="1:4">
      <c r="A80" s="123" t="s">
        <v>53</v>
      </c>
      <c r="B80" s="147" t="s">
        <v>209</v>
      </c>
      <c r="C80" s="148">
        <f>C55</f>
        <v>0.398</v>
      </c>
      <c r="D80" s="144">
        <f>TRUNC(($D$79*C80),2)</f>
        <v>8.26</v>
      </c>
    </row>
    <row r="81" spans="1:4">
      <c r="A81" s="123" t="s">
        <v>55</v>
      </c>
      <c r="B81" s="147" t="s">
        <v>115</v>
      </c>
      <c r="C81" s="148">
        <f>(0.08*0.4*0.95)</f>
        <v>0.0304</v>
      </c>
      <c r="D81" s="144">
        <f>TRUNC(($D$31*C81),2)</f>
        <v>34.16</v>
      </c>
    </row>
    <row r="82" spans="1:4">
      <c r="A82" s="123" t="s">
        <v>58</v>
      </c>
      <c r="C82" s="146">
        <f>SUM(C76:C81)</f>
        <v>0.532638888888889</v>
      </c>
      <c r="D82" s="130">
        <f>TRUNC((SUM(D76:D81)),2)</f>
        <v>70.02</v>
      </c>
    </row>
    <row r="83" ht="15.15" spans="1:4">
      <c r="A83" s="123"/>
      <c r="D83" s="130"/>
    </row>
    <row r="84" ht="15.9" spans="1:4">
      <c r="A84" s="134" t="s">
        <v>210</v>
      </c>
      <c r="B84" s="134"/>
      <c r="C84" s="135" t="s">
        <v>202</v>
      </c>
      <c r="D84" s="136">
        <f>D31</f>
        <v>1124</v>
      </c>
    </row>
    <row r="85" ht="15.9" spans="1:4">
      <c r="A85" s="134"/>
      <c r="B85" s="134"/>
      <c r="C85" s="137" t="s">
        <v>211</v>
      </c>
      <c r="D85" s="136">
        <f>D72</f>
        <v>1264.96</v>
      </c>
    </row>
    <row r="86" ht="15.9" spans="1:4">
      <c r="A86" s="134"/>
      <c r="B86" s="134"/>
      <c r="C86" s="135" t="s">
        <v>212</v>
      </c>
      <c r="D86" s="136">
        <f>D82</f>
        <v>70.02</v>
      </c>
    </row>
    <row r="87" ht="15.9" spans="1:4">
      <c r="A87" s="134"/>
      <c r="B87" s="134"/>
      <c r="C87" s="137" t="s">
        <v>204</v>
      </c>
      <c r="D87" s="138">
        <f>TRUNC((SUM(D84:D86)),2)</f>
        <v>2458.98</v>
      </c>
    </row>
    <row r="88" ht="15.15" spans="1:4">
      <c r="A88" s="123"/>
      <c r="D88" s="130"/>
    </row>
    <row r="89" spans="1:4">
      <c r="A89" s="151" t="s">
        <v>127</v>
      </c>
      <c r="B89" s="151"/>
      <c r="C89" s="151"/>
      <c r="D89" s="151"/>
    </row>
    <row r="90" spans="1:4">
      <c r="A90" s="122" t="s">
        <v>128</v>
      </c>
      <c r="B90" s="122"/>
      <c r="C90" s="122"/>
      <c r="D90" s="122"/>
    </row>
    <row r="91" spans="1:4">
      <c r="A91" s="123" t="s">
        <v>129</v>
      </c>
      <c r="B91" s="128" t="s">
        <v>130</v>
      </c>
      <c r="C91" s="123" t="s">
        <v>38</v>
      </c>
      <c r="D91" s="123" t="s">
        <v>19</v>
      </c>
    </row>
    <row r="92" spans="1:4">
      <c r="A92" s="123" t="s">
        <v>42</v>
      </c>
      <c r="B92" t="s">
        <v>213</v>
      </c>
      <c r="C92" s="146">
        <f>(((1+1/3)/12)/12)+((1/12)/12)</f>
        <v>0.0162037037037037</v>
      </c>
      <c r="D92" s="130">
        <f>TRUNC(($D$87*C92),2)</f>
        <v>39.84</v>
      </c>
    </row>
    <row r="93" spans="1:4">
      <c r="A93" s="123" t="s">
        <v>45</v>
      </c>
      <c r="B93" t="s">
        <v>133</v>
      </c>
      <c r="C93" s="140">
        <f>((2/30)/12)</f>
        <v>0.00555555555555556</v>
      </c>
      <c r="D93" s="144">
        <f>TRUNC(($D$87*C93),2)</f>
        <v>13.66</v>
      </c>
    </row>
    <row r="94" spans="1:4">
      <c r="A94" s="123" t="s">
        <v>48</v>
      </c>
      <c r="B94" t="s">
        <v>134</v>
      </c>
      <c r="C94" s="140">
        <f>((5/30)/12)*0.02</f>
        <v>0.000277777777777778</v>
      </c>
      <c r="D94" s="144">
        <f>TRUNC(($D$87*C94),2)</f>
        <v>0.68</v>
      </c>
    </row>
    <row r="95" spans="1:4">
      <c r="A95" s="142" t="s">
        <v>50</v>
      </c>
      <c r="B95" s="147" t="s">
        <v>135</v>
      </c>
      <c r="C95" s="148">
        <f>((15/30)/12)*0.08</f>
        <v>0.00333333333333333</v>
      </c>
      <c r="D95" s="144">
        <f>TRUNC(($D$87*C95),2)</f>
        <v>8.19</v>
      </c>
    </row>
    <row r="96" spans="1:4">
      <c r="A96" s="123" t="s">
        <v>53</v>
      </c>
      <c r="B96" t="s">
        <v>136</v>
      </c>
      <c r="C96" s="140">
        <f>((1+1/3)/12)*0.03*((4/12))</f>
        <v>0.00111111111111111</v>
      </c>
      <c r="D96" s="144">
        <f>TRUNC(($D$87*C96),2)</f>
        <v>2.73</v>
      </c>
    </row>
    <row r="97" spans="1:4">
      <c r="A97" s="123" t="s">
        <v>55</v>
      </c>
      <c r="B97" s="147" t="s">
        <v>214</v>
      </c>
      <c r="C97" s="152">
        <v>0</v>
      </c>
      <c r="D97" s="144">
        <f>TRUNC($D$87*C97)</f>
        <v>0</v>
      </c>
    </row>
    <row r="98" spans="1:4">
      <c r="A98" s="123" t="s">
        <v>58</v>
      </c>
      <c r="C98" s="146">
        <f>SUM(C92:C97)</f>
        <v>0.0264814814814815</v>
      </c>
      <c r="D98" s="130">
        <f>TRUNC((SUM(D92:D97)),2)</f>
        <v>65.1</v>
      </c>
    </row>
    <row r="99" spans="1:4">
      <c r="A99" s="123"/>
      <c r="C99" s="123"/>
      <c r="D99" s="130"/>
    </row>
    <row r="100" spans="1:4">
      <c r="A100" s="122" t="s">
        <v>144</v>
      </c>
      <c r="B100" s="122"/>
      <c r="C100" s="122"/>
      <c r="D100" s="122"/>
    </row>
    <row r="101" spans="1:4">
      <c r="A101" s="123" t="s">
        <v>145</v>
      </c>
      <c r="B101" s="128" t="s">
        <v>146</v>
      </c>
      <c r="C101" s="123" t="s">
        <v>18</v>
      </c>
      <c r="D101" s="123" t="s">
        <v>19</v>
      </c>
    </row>
    <row r="102" ht="72" spans="1:4">
      <c r="A102" s="142" t="s">
        <v>42</v>
      </c>
      <c r="B102" s="153" t="s">
        <v>147</v>
      </c>
      <c r="C102" s="154" t="s">
        <v>215</v>
      </c>
      <c r="D102" s="155" t="s">
        <v>216</v>
      </c>
    </row>
    <row r="103" spans="1:4">
      <c r="A103" s="123" t="s">
        <v>58</v>
      </c>
      <c r="C103" s="123"/>
      <c r="D103" s="157" t="str">
        <f>D102</f>
        <v>*=TRUNCAR(($D$86/220)*(1*(365/12))/2)</v>
      </c>
    </row>
    <row r="105" spans="1:4">
      <c r="A105" s="122" t="s">
        <v>148</v>
      </c>
      <c r="B105" s="122"/>
      <c r="C105" s="122"/>
      <c r="D105" s="122"/>
    </row>
    <row r="106" spans="1:4">
      <c r="A106" s="123" t="s">
        <v>149</v>
      </c>
      <c r="B106" s="128" t="s">
        <v>150</v>
      </c>
      <c r="C106" s="123" t="s">
        <v>18</v>
      </c>
      <c r="D106" s="123" t="s">
        <v>19</v>
      </c>
    </row>
    <row r="107" spans="1:4">
      <c r="A107" s="123" t="s">
        <v>129</v>
      </c>
      <c r="B107" t="s">
        <v>130</v>
      </c>
      <c r="D107" s="125">
        <f>D98</f>
        <v>65.1</v>
      </c>
    </row>
    <row r="108" spans="1:4">
      <c r="A108" s="123" t="s">
        <v>145</v>
      </c>
      <c r="B108" t="s">
        <v>151</v>
      </c>
      <c r="C108" s="128"/>
      <c r="D108" s="158" t="str">
        <f>Submódulo4.260_55[[#Totals],[Valor]]</f>
        <v>*=TRUNCAR(($D$86/220)*(1*(365/12))/2)</v>
      </c>
    </row>
    <row r="109" ht="43.2" spans="1:4">
      <c r="A109" s="142" t="s">
        <v>58</v>
      </c>
      <c r="B109" s="143"/>
      <c r="C109" s="154" t="s">
        <v>217</v>
      </c>
      <c r="D109" s="159">
        <f>TRUNC((SUM(D107:D108)),2)</f>
        <v>65.1</v>
      </c>
    </row>
    <row r="111" spans="1:4">
      <c r="A111" s="106" t="s">
        <v>152</v>
      </c>
      <c r="B111" s="106"/>
      <c r="C111" s="106"/>
      <c r="D111" s="106"/>
    </row>
    <row r="112" spans="1:4">
      <c r="A112" s="142" t="s">
        <v>153</v>
      </c>
      <c r="B112" s="143" t="s">
        <v>154</v>
      </c>
      <c r="C112" s="142" t="s">
        <v>18</v>
      </c>
      <c r="D112" s="142" t="s">
        <v>19</v>
      </c>
    </row>
    <row r="113" spans="1:4">
      <c r="A113" s="123" t="s">
        <v>42</v>
      </c>
      <c r="B113" t="s">
        <v>218</v>
      </c>
      <c r="D113" s="160">
        <f>Uniformes!G50</f>
        <v>71.61</v>
      </c>
    </row>
    <row r="114" spans="1:4">
      <c r="A114" s="123" t="s">
        <v>45</v>
      </c>
      <c r="B114" t="s">
        <v>219</v>
      </c>
      <c r="D114" s="125">
        <v>0</v>
      </c>
    </row>
    <row r="115" spans="1:4">
      <c r="A115" s="123" t="s">
        <v>48</v>
      </c>
      <c r="B115" t="s">
        <v>156</v>
      </c>
      <c r="D115" s="160">
        <f>Materiais!G6</f>
        <v>4.75</v>
      </c>
    </row>
    <row r="116" spans="1:4">
      <c r="A116" s="123" t="s">
        <v>50</v>
      </c>
      <c r="B116" t="s">
        <v>157</v>
      </c>
      <c r="D116" s="125">
        <v>0</v>
      </c>
    </row>
    <row r="117" spans="1:4">
      <c r="A117" s="123" t="s">
        <v>53</v>
      </c>
      <c r="B117" t="s">
        <v>220</v>
      </c>
      <c r="D117" s="125">
        <f>H116</f>
        <v>0</v>
      </c>
    </row>
    <row r="118" spans="1:4">
      <c r="A118" s="123" t="s">
        <v>58</v>
      </c>
      <c r="D118" s="130">
        <f>TRUNC(SUM(D113:D117),2)</f>
        <v>76.36</v>
      </c>
    </row>
    <row r="119" ht="15.15"/>
    <row r="120" ht="15.9" spans="1:4">
      <c r="A120" s="134" t="s">
        <v>221</v>
      </c>
      <c r="B120" s="134"/>
      <c r="C120" s="135" t="s">
        <v>202</v>
      </c>
      <c r="D120" s="136">
        <f>D31</f>
        <v>1124</v>
      </c>
    </row>
    <row r="121" ht="15.9" spans="1:4">
      <c r="A121" s="134"/>
      <c r="B121" s="134"/>
      <c r="C121" s="137" t="s">
        <v>211</v>
      </c>
      <c r="D121" s="136">
        <f>D72</f>
        <v>1264.96</v>
      </c>
    </row>
    <row r="122" ht="15.9" spans="1:4">
      <c r="A122" s="134"/>
      <c r="B122" s="134"/>
      <c r="C122" s="135" t="s">
        <v>212</v>
      </c>
      <c r="D122" s="136">
        <f>D82</f>
        <v>70.02</v>
      </c>
    </row>
    <row r="123" ht="15.9" spans="1:4">
      <c r="A123" s="134"/>
      <c r="B123" s="134"/>
      <c r="C123" s="137" t="s">
        <v>222</v>
      </c>
      <c r="D123" s="136">
        <f>D109</f>
        <v>65.1</v>
      </c>
    </row>
    <row r="124" ht="15.9" spans="1:4">
      <c r="A124" s="134"/>
      <c r="B124" s="134"/>
      <c r="C124" s="135" t="s">
        <v>223</v>
      </c>
      <c r="D124" s="136">
        <f>D118</f>
        <v>76.36</v>
      </c>
    </row>
    <row r="125" ht="15.9" spans="1:4">
      <c r="A125" s="134"/>
      <c r="B125" s="134"/>
      <c r="C125" s="137" t="s">
        <v>204</v>
      </c>
      <c r="D125" s="138">
        <f>TRUNC((SUM(D120:D124)),2)</f>
        <v>2600.44</v>
      </c>
    </row>
    <row r="126" ht="15.15"/>
    <row r="127" spans="1:4">
      <c r="A127" s="106" t="s">
        <v>164</v>
      </c>
      <c r="B127" s="106"/>
      <c r="C127" s="106"/>
      <c r="D127" s="106"/>
    </row>
    <row r="128" spans="1:7">
      <c r="A128" s="123" t="s">
        <v>165</v>
      </c>
      <c r="B128" t="s">
        <v>166</v>
      </c>
      <c r="C128" s="123" t="s">
        <v>38</v>
      </c>
      <c r="D128" s="123" t="s">
        <v>19</v>
      </c>
      <c r="F128" s="161" t="s">
        <v>224</v>
      </c>
      <c r="G128" s="161"/>
    </row>
    <row r="129" ht="15.15" spans="1:7">
      <c r="A129" s="123" t="s">
        <v>42</v>
      </c>
      <c r="B129" t="s">
        <v>167</v>
      </c>
      <c r="C129" s="162">
        <v>0.044</v>
      </c>
      <c r="D129" s="160">
        <f>TRUNC(($D$125*C129),2)</f>
        <v>114.41</v>
      </c>
      <c r="F129" s="163" t="s">
        <v>225</v>
      </c>
      <c r="G129" s="148">
        <f>C131</f>
        <v>0.0865</v>
      </c>
    </row>
    <row r="130" ht="15.15" spans="1:7">
      <c r="A130" s="123" t="s">
        <v>45</v>
      </c>
      <c r="B130" t="s">
        <v>59</v>
      </c>
      <c r="C130" s="162">
        <v>0.0413</v>
      </c>
      <c r="D130" s="160">
        <f>TRUNC((C130*(D125+D129)),2)</f>
        <v>112.12</v>
      </c>
      <c r="F130" s="164" t="s">
        <v>226</v>
      </c>
      <c r="G130" s="178">
        <f>TRUNC(SUM(D125,D129,D130),2)</f>
        <v>2826.97</v>
      </c>
    </row>
    <row r="131" ht="15.15" spans="1:7">
      <c r="A131" s="123" t="s">
        <v>48</v>
      </c>
      <c r="B131" t="s">
        <v>168</v>
      </c>
      <c r="C131" s="140">
        <f>SUM(C132:C134)</f>
        <v>0.0865</v>
      </c>
      <c r="D131" s="125">
        <f>TRUNC((SUM(D132:D134)),2)</f>
        <v>267.67</v>
      </c>
      <c r="F131" s="163" t="s">
        <v>227</v>
      </c>
      <c r="G131" s="166">
        <f>(100-8.65)/100</f>
        <v>0.9135</v>
      </c>
    </row>
    <row r="132" ht="15.15" spans="1:7">
      <c r="A132" s="123"/>
      <c r="B132" t="s">
        <v>228</v>
      </c>
      <c r="C132" s="140">
        <v>0.0065</v>
      </c>
      <c r="D132" s="125">
        <f>TRUNC(($G$132*C132),2)</f>
        <v>20.11</v>
      </c>
      <c r="F132" s="164" t="s">
        <v>224</v>
      </c>
      <c r="G132" s="178">
        <f>TRUNC((G130/G131),2)</f>
        <v>3094.65</v>
      </c>
    </row>
    <row r="133" ht="15.15" spans="1:4">
      <c r="A133" s="123"/>
      <c r="B133" t="s">
        <v>229</v>
      </c>
      <c r="C133" s="140">
        <v>0.03</v>
      </c>
      <c r="D133" s="125">
        <f>TRUNC(($G$132*C133),2)</f>
        <v>92.83</v>
      </c>
    </row>
    <row r="134" spans="1:4">
      <c r="A134" s="123"/>
      <c r="B134" t="s">
        <v>230</v>
      </c>
      <c r="C134" s="140">
        <v>0.05</v>
      </c>
      <c r="D134" s="125">
        <f>TRUNC(($G$132*C134),2)</f>
        <v>154.73</v>
      </c>
    </row>
    <row r="135" spans="1:4">
      <c r="A135" s="123" t="s">
        <v>58</v>
      </c>
      <c r="C135" s="167"/>
      <c r="D135" s="130">
        <f>TRUNC(SUM(D129:D131),2)</f>
        <v>494.2</v>
      </c>
    </row>
    <row r="136" spans="1:4">
      <c r="A136" s="123"/>
      <c r="C136" s="167"/>
      <c r="D136" s="130"/>
    </row>
    <row r="138" spans="1:4">
      <c r="A138" s="106" t="s">
        <v>172</v>
      </c>
      <c r="B138" s="106"/>
      <c r="C138" s="106"/>
      <c r="D138" s="106"/>
    </row>
    <row r="139" spans="1:4">
      <c r="A139" s="123" t="s">
        <v>16</v>
      </c>
      <c r="B139" s="123" t="s">
        <v>173</v>
      </c>
      <c r="C139" s="123" t="s">
        <v>102</v>
      </c>
      <c r="D139" s="123" t="s">
        <v>19</v>
      </c>
    </row>
    <row r="140" spans="1:4">
      <c r="A140" s="123" t="s">
        <v>42</v>
      </c>
      <c r="B140" t="s">
        <v>36</v>
      </c>
      <c r="D140" s="130">
        <f>D31</f>
        <v>1124</v>
      </c>
    </row>
    <row r="141" spans="1:4">
      <c r="A141" s="123" t="s">
        <v>45</v>
      </c>
      <c r="B141" t="s">
        <v>61</v>
      </c>
      <c r="D141" s="130">
        <f>D72</f>
        <v>1264.96</v>
      </c>
    </row>
    <row r="142" spans="1:4">
      <c r="A142" s="123" t="s">
        <v>48</v>
      </c>
      <c r="B142" t="s">
        <v>108</v>
      </c>
      <c r="D142" s="130">
        <f>D82</f>
        <v>70.02</v>
      </c>
    </row>
    <row r="143" spans="1:4">
      <c r="A143" s="123" t="s">
        <v>50</v>
      </c>
      <c r="B143" t="s">
        <v>174</v>
      </c>
      <c r="D143" s="130">
        <f>D109</f>
        <v>65.1</v>
      </c>
    </row>
    <row r="144" spans="1:4">
      <c r="A144" s="123" t="s">
        <v>53</v>
      </c>
      <c r="B144" t="s">
        <v>152</v>
      </c>
      <c r="D144" s="130">
        <f>D118</f>
        <v>76.36</v>
      </c>
    </row>
    <row r="145" spans="2:4">
      <c r="B145" s="168" t="s">
        <v>175</v>
      </c>
      <c r="D145" s="130">
        <f>TRUNC(SUM(D140:D144),2)</f>
        <v>2600.44</v>
      </c>
    </row>
    <row r="146" spans="1:4">
      <c r="A146" s="123" t="s">
        <v>55</v>
      </c>
      <c r="B146" t="s">
        <v>164</v>
      </c>
      <c r="D146" s="130">
        <f>D135</f>
        <v>494.2</v>
      </c>
    </row>
    <row r="147" spans="1:4">
      <c r="A147" s="169"/>
      <c r="B147" s="170" t="s">
        <v>231</v>
      </c>
      <c r="C147" s="169"/>
      <c r="D147" s="171">
        <f>TRUNC((SUM(D140:D144)+D146),2)</f>
        <v>3094.64</v>
      </c>
    </row>
    <row r="148" spans="1:4">
      <c r="A148" s="175"/>
      <c r="B148" s="176" t="s">
        <v>239</v>
      </c>
      <c r="C148" s="175"/>
      <c r="D148" s="177">
        <f>TRUNC(D147*2,2)</f>
        <v>6189.28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9" workbookViewId="0">
      <selection activeCell="A2" sqref="A2:D148"/>
    </sheetView>
  </sheetViews>
  <sheetFormatPr defaultColWidth="8.88888888888889" defaultRowHeight="14.4" outlineLevelCol="6"/>
  <cols>
    <col min="1" max="1" width="11" customWidth="1"/>
    <col min="2" max="2" width="42.6666666666667" customWidth="1"/>
    <col min="3" max="3" width="22.4444444444444" customWidth="1"/>
    <col min="4" max="4" width="32.8888888888889" customWidth="1"/>
    <col min="6" max="6" width="22.7777777777778" customWidth="1"/>
    <col min="7" max="7" width="13.6666666666667" customWidth="1"/>
  </cols>
  <sheetData>
    <row r="2" ht="18.75" spans="1:4">
      <c r="A2" s="99" t="s">
        <v>177</v>
      </c>
      <c r="B2" s="99"/>
      <c r="C2" s="99"/>
      <c r="D2" s="99"/>
    </row>
    <row r="3" ht="15.15" spans="1:4">
      <c r="A3" s="100" t="s">
        <v>178</v>
      </c>
      <c r="B3" s="100"/>
      <c r="C3" s="100"/>
      <c r="D3" s="100"/>
    </row>
    <row r="4" spans="1:4">
      <c r="A4" s="101" t="s">
        <v>179</v>
      </c>
      <c r="B4" s="102" t="s">
        <v>180</v>
      </c>
      <c r="C4" s="103"/>
      <c r="D4" s="103"/>
    </row>
    <row r="5" spans="1:4">
      <c r="A5" s="104"/>
      <c r="B5" s="105"/>
      <c r="C5" s="105"/>
      <c r="D5" s="105"/>
    </row>
    <row r="6" ht="15.15" spans="1:4">
      <c r="A6" s="106" t="s">
        <v>181</v>
      </c>
      <c r="B6" s="106"/>
      <c r="C6" s="106"/>
      <c r="D6" s="106"/>
    </row>
    <row r="7" ht="15.15" spans="1:4">
      <c r="A7" s="107" t="s">
        <v>42</v>
      </c>
      <c r="B7" s="108" t="s">
        <v>182</v>
      </c>
      <c r="C7" s="109" t="s">
        <v>183</v>
      </c>
      <c r="D7" s="109"/>
    </row>
    <row r="8" spans="1:4">
      <c r="A8" s="110" t="s">
        <v>45</v>
      </c>
      <c r="B8" s="111" t="s">
        <v>184</v>
      </c>
      <c r="C8" s="112" t="s">
        <v>185</v>
      </c>
      <c r="D8" s="112"/>
    </row>
    <row r="9" spans="1:4">
      <c r="A9" s="113" t="s">
        <v>48</v>
      </c>
      <c r="B9" s="114" t="s">
        <v>186</v>
      </c>
      <c r="C9" s="112" t="s">
        <v>187</v>
      </c>
      <c r="D9" s="112"/>
    </row>
    <row r="10" spans="1:4">
      <c r="A10" s="110" t="s">
        <v>53</v>
      </c>
      <c r="B10" s="111" t="s">
        <v>188</v>
      </c>
      <c r="C10" s="112" t="s">
        <v>189</v>
      </c>
      <c r="D10" s="112"/>
    </row>
    <row r="11" ht="15.15" spans="1:4">
      <c r="A11" s="115" t="s">
        <v>190</v>
      </c>
      <c r="B11" s="115"/>
      <c r="C11" s="115"/>
      <c r="D11" s="115"/>
    </row>
    <row r="12" ht="15.9" spans="1:4">
      <c r="A12" s="116" t="s">
        <v>191</v>
      </c>
      <c r="B12" s="116"/>
      <c r="C12" s="115" t="s">
        <v>192</v>
      </c>
      <c r="D12" s="117" t="s">
        <v>193</v>
      </c>
    </row>
    <row r="13" ht="15.15" spans="1:4">
      <c r="A13" s="118" t="s">
        <v>235</v>
      </c>
      <c r="B13" s="118"/>
      <c r="C13" s="112" t="s">
        <v>236</v>
      </c>
      <c r="D13" s="119">
        <f>RESUMO!D6</f>
        <v>1</v>
      </c>
    </row>
    <row r="14" spans="1:4">
      <c r="A14" s="120"/>
      <c r="B14" s="120"/>
      <c r="C14" s="112"/>
      <c r="D14" s="121"/>
    </row>
    <row r="15" ht="15.15" spans="1:7">
      <c r="A15" s="115" t="s">
        <v>14</v>
      </c>
      <c r="B15" s="115"/>
      <c r="C15" s="115"/>
      <c r="D15" s="115"/>
      <c r="F15" s="122"/>
      <c r="G15" s="122"/>
    </row>
    <row r="16" ht="15.15" spans="1:4">
      <c r="A16" s="123" t="s">
        <v>16</v>
      </c>
      <c r="B16" t="s">
        <v>17</v>
      </c>
      <c r="C16" s="123" t="s">
        <v>18</v>
      </c>
      <c r="D16" s="123" t="s">
        <v>19</v>
      </c>
    </row>
    <row r="17" spans="1:6">
      <c r="A17" s="123">
        <v>1</v>
      </c>
      <c r="B17" t="s">
        <v>20</v>
      </c>
      <c r="C17" s="124" t="s">
        <v>102</v>
      </c>
      <c r="D17" s="124" t="str">
        <f>A13</f>
        <v>Agente de Portaria</v>
      </c>
      <c r="F17" s="172"/>
    </row>
    <row r="18" spans="1:4">
      <c r="A18" s="123">
        <v>2</v>
      </c>
      <c r="B18" t="s">
        <v>23</v>
      </c>
      <c r="C18" s="124" t="s">
        <v>196</v>
      </c>
      <c r="D18" s="124" t="s">
        <v>237</v>
      </c>
    </row>
    <row r="19" spans="1:4">
      <c r="A19" s="123">
        <v>3</v>
      </c>
      <c r="B19" t="s">
        <v>26</v>
      </c>
      <c r="C19" s="124" t="str">
        <f>C9</f>
        <v>CCT PB000047/2021</v>
      </c>
      <c r="D19" s="125">
        <v>1124</v>
      </c>
    </row>
    <row r="20" spans="1:4">
      <c r="A20" s="123">
        <v>4</v>
      </c>
      <c r="B20" t="s">
        <v>29</v>
      </c>
      <c r="C20" s="124" t="str">
        <f>C9</f>
        <v>CCT PB000047/2021</v>
      </c>
      <c r="D20" s="126" t="s">
        <v>198</v>
      </c>
    </row>
    <row r="21" spans="1:4">
      <c r="A21" s="123">
        <v>5</v>
      </c>
      <c r="B21" t="s">
        <v>33</v>
      </c>
      <c r="C21" s="124" t="str">
        <f>C9</f>
        <v>CCT PB000047/2021</v>
      </c>
      <c r="D21" s="127" t="s">
        <v>199</v>
      </c>
    </row>
    <row r="22" spans="6:7">
      <c r="F22" s="122"/>
      <c r="G22" s="122"/>
    </row>
    <row r="23" spans="1:4">
      <c r="A23" s="106" t="s">
        <v>36</v>
      </c>
      <c r="B23" s="106"/>
      <c r="C23" s="106"/>
      <c r="D23" s="106"/>
    </row>
    <row r="24" spans="1:7">
      <c r="A24" s="123" t="s">
        <v>39</v>
      </c>
      <c r="B24" s="128" t="s">
        <v>40</v>
      </c>
      <c r="C24" s="123" t="s">
        <v>18</v>
      </c>
      <c r="D24" s="123" t="s">
        <v>19</v>
      </c>
      <c r="G24" s="129"/>
    </row>
    <row r="25" spans="1:7">
      <c r="A25" s="123" t="s">
        <v>42</v>
      </c>
      <c r="B25" t="s">
        <v>43</v>
      </c>
      <c r="C25" s="126" t="s">
        <v>238</v>
      </c>
      <c r="D25" s="125">
        <f>D19</f>
        <v>1124</v>
      </c>
      <c r="G25" s="129"/>
    </row>
    <row r="26" spans="1:7">
      <c r="A26" s="123" t="s">
        <v>45</v>
      </c>
      <c r="B26" t="s">
        <v>46</v>
      </c>
      <c r="C26" s="126"/>
      <c r="D26" s="125">
        <v>0</v>
      </c>
      <c r="G26" s="129"/>
    </row>
    <row r="27" spans="1:4">
      <c r="A27" s="123" t="s">
        <v>48</v>
      </c>
      <c r="B27" t="s">
        <v>49</v>
      </c>
      <c r="C27" s="126"/>
      <c r="D27" s="125">
        <v>0</v>
      </c>
    </row>
    <row r="28" spans="1:4">
      <c r="A28" s="123" t="s">
        <v>50</v>
      </c>
      <c r="B28" t="s">
        <v>51</v>
      </c>
      <c r="C28" s="126"/>
      <c r="D28" s="125">
        <v>0</v>
      </c>
    </row>
    <row r="29" spans="1:4">
      <c r="A29" s="123" t="s">
        <v>53</v>
      </c>
      <c r="B29" t="s">
        <v>54</v>
      </c>
      <c r="C29" s="126"/>
      <c r="D29" s="125">
        <v>0</v>
      </c>
    </row>
    <row r="30" spans="1:4">
      <c r="A30" s="123" t="s">
        <v>55</v>
      </c>
      <c r="B30" t="s">
        <v>56</v>
      </c>
      <c r="C30" s="126"/>
      <c r="D30" s="125">
        <v>0</v>
      </c>
    </row>
    <row r="31" spans="1:7">
      <c r="A31" s="123" t="s">
        <v>58</v>
      </c>
      <c r="C31" s="123"/>
      <c r="D31" s="130">
        <f>TRUNC((SUM(D25:D30)),2)</f>
        <v>1124</v>
      </c>
      <c r="F31" s="122"/>
      <c r="G31" s="122"/>
    </row>
    <row r="33" spans="1:7">
      <c r="A33" s="131" t="s">
        <v>61</v>
      </c>
      <c r="B33" s="131"/>
      <c r="C33" s="131"/>
      <c r="D33" s="131"/>
      <c r="G33" s="129"/>
    </row>
    <row r="35" spans="1:4">
      <c r="A35" s="122" t="s">
        <v>63</v>
      </c>
      <c r="B35" s="122"/>
      <c r="C35" s="122"/>
      <c r="D35" s="122"/>
    </row>
    <row r="36" spans="1:4">
      <c r="A36" s="123" t="s">
        <v>65</v>
      </c>
      <c r="B36" s="128" t="s">
        <v>66</v>
      </c>
      <c r="C36" s="123" t="s">
        <v>38</v>
      </c>
      <c r="D36" s="123" t="s">
        <v>19</v>
      </c>
    </row>
    <row r="37" spans="1:7">
      <c r="A37" s="123" t="s">
        <v>42</v>
      </c>
      <c r="B37" t="s">
        <v>67</v>
      </c>
      <c r="C37" s="132">
        <f>(1/12)</f>
        <v>0.0833333333333333</v>
      </c>
      <c r="D37" s="130">
        <f>TRUNC($D$31*C37,2)</f>
        <v>93.66</v>
      </c>
      <c r="F37" s="133"/>
      <c r="G37" s="133"/>
    </row>
    <row r="38" spans="1:7">
      <c r="A38" s="123" t="s">
        <v>45</v>
      </c>
      <c r="B38" t="s">
        <v>68</v>
      </c>
      <c r="C38" s="132">
        <f>(((1+1/3)/12))</f>
        <v>0.111111111111111</v>
      </c>
      <c r="D38" s="130">
        <f>TRUNC($D$31*C38,2)</f>
        <v>124.88</v>
      </c>
      <c r="F38" s="133"/>
      <c r="G38" s="133"/>
    </row>
    <row r="39" spans="1:7">
      <c r="A39" s="123" t="s">
        <v>58</v>
      </c>
      <c r="D39" s="130">
        <f>TRUNC((SUM(D37:D38)),2)</f>
        <v>218.54</v>
      </c>
      <c r="F39" s="133"/>
      <c r="G39" s="133"/>
    </row>
    <row r="40" ht="15.15" spans="4:7">
      <c r="D40" s="130"/>
      <c r="F40" s="133"/>
      <c r="G40" s="133"/>
    </row>
    <row r="41" ht="15.9" spans="1:7">
      <c r="A41" s="134" t="s">
        <v>201</v>
      </c>
      <c r="B41" s="134"/>
      <c r="C41" s="135" t="s">
        <v>202</v>
      </c>
      <c r="D41" s="136">
        <f>D31</f>
        <v>1124</v>
      </c>
      <c r="F41" s="133"/>
      <c r="G41" s="133"/>
    </row>
    <row r="42" ht="15.9" spans="1:7">
      <c r="A42" s="134"/>
      <c r="B42" s="134"/>
      <c r="C42" s="137" t="s">
        <v>203</v>
      </c>
      <c r="D42" s="136">
        <f>D39</f>
        <v>218.54</v>
      </c>
      <c r="F42" s="133"/>
      <c r="G42" s="133"/>
    </row>
    <row r="43" ht="15.9" spans="1:7">
      <c r="A43" s="134"/>
      <c r="B43" s="134"/>
      <c r="C43" s="135" t="s">
        <v>204</v>
      </c>
      <c r="D43" s="138">
        <f>TRUNC(SUM(D41:D42),2)</f>
        <v>1342.54</v>
      </c>
      <c r="F43" s="133"/>
      <c r="G43" s="133"/>
    </row>
    <row r="44" ht="15.15" spans="1:7">
      <c r="A44" s="123"/>
      <c r="C44" s="139"/>
      <c r="D44" s="130"/>
      <c r="F44" s="133"/>
      <c r="G44" s="133"/>
    </row>
    <row r="45" spans="1:4">
      <c r="A45" s="122" t="s">
        <v>77</v>
      </c>
      <c r="B45" s="122"/>
      <c r="C45" s="122"/>
      <c r="D45" s="122"/>
    </row>
    <row r="46" spans="1:4">
      <c r="A46" s="123" t="s">
        <v>78</v>
      </c>
      <c r="B46" s="128" t="s">
        <v>79</v>
      </c>
      <c r="C46" s="123" t="s">
        <v>38</v>
      </c>
      <c r="D46" s="123" t="s">
        <v>80</v>
      </c>
    </row>
    <row r="47" spans="1:4">
      <c r="A47" s="123" t="s">
        <v>42</v>
      </c>
      <c r="B47" t="s">
        <v>81</v>
      </c>
      <c r="C47" s="132">
        <v>0.2</v>
      </c>
      <c r="D47" s="173">
        <f t="shared" ref="D47:D54" si="0">TRUNC(($D$43*C47),2)</f>
        <v>268.5</v>
      </c>
    </row>
    <row r="48" spans="1:4">
      <c r="A48" s="123" t="s">
        <v>45</v>
      </c>
      <c r="B48" t="s">
        <v>82</v>
      </c>
      <c r="C48" s="132">
        <v>0.025</v>
      </c>
      <c r="D48" s="173">
        <f t="shared" si="0"/>
        <v>33.56</v>
      </c>
    </row>
    <row r="49" spans="1:4">
      <c r="A49" s="123" t="s">
        <v>48</v>
      </c>
      <c r="B49" t="s">
        <v>205</v>
      </c>
      <c r="C49" s="140">
        <v>0.06</v>
      </c>
      <c r="D49" s="173">
        <f t="shared" si="0"/>
        <v>80.55</v>
      </c>
    </row>
    <row r="50" spans="1:4">
      <c r="A50" s="123" t="s">
        <v>50</v>
      </c>
      <c r="B50" t="s">
        <v>84</v>
      </c>
      <c r="C50" s="132">
        <v>0.015</v>
      </c>
      <c r="D50" s="173">
        <f t="shared" si="0"/>
        <v>20.13</v>
      </c>
    </row>
    <row r="51" spans="1:4">
      <c r="A51" s="123" t="s">
        <v>53</v>
      </c>
      <c r="B51" t="s">
        <v>85</v>
      </c>
      <c r="C51" s="132">
        <v>0.01</v>
      </c>
      <c r="D51" s="173">
        <f t="shared" si="0"/>
        <v>13.42</v>
      </c>
    </row>
    <row r="52" spans="1:4">
      <c r="A52" s="123" t="s">
        <v>55</v>
      </c>
      <c r="B52" t="s">
        <v>86</v>
      </c>
      <c r="C52" s="132">
        <v>0.006</v>
      </c>
      <c r="D52" s="173">
        <f t="shared" si="0"/>
        <v>8.05</v>
      </c>
    </row>
    <row r="53" spans="1:4">
      <c r="A53" s="123" t="s">
        <v>87</v>
      </c>
      <c r="B53" t="s">
        <v>88</v>
      </c>
      <c r="C53" s="132">
        <v>0.002</v>
      </c>
      <c r="D53" s="173">
        <f t="shared" si="0"/>
        <v>2.68</v>
      </c>
    </row>
    <row r="54" spans="1:4">
      <c r="A54" s="123" t="s">
        <v>89</v>
      </c>
      <c r="B54" t="s">
        <v>90</v>
      </c>
      <c r="C54" s="132">
        <v>0.08</v>
      </c>
      <c r="D54" s="173">
        <f t="shared" si="0"/>
        <v>107.4</v>
      </c>
    </row>
    <row r="55" spans="1:4">
      <c r="A55" s="123" t="s">
        <v>58</v>
      </c>
      <c r="C55" s="139">
        <f>SUM(C47:C54)</f>
        <v>0.398</v>
      </c>
      <c r="D55" s="130">
        <f>TRUNC((SUM(D47:D54)),2)</f>
        <v>534.29</v>
      </c>
    </row>
    <row r="56" spans="1:4">
      <c r="A56" s="123"/>
      <c r="C56" s="139"/>
      <c r="D56" s="130"/>
    </row>
    <row r="57" spans="1:4">
      <c r="A57" s="122" t="s">
        <v>95</v>
      </c>
      <c r="B57" s="122"/>
      <c r="C57" s="122"/>
      <c r="D57" s="122"/>
    </row>
    <row r="58" spans="1:4">
      <c r="A58" s="123" t="s">
        <v>96</v>
      </c>
      <c r="B58" s="128" t="s">
        <v>97</v>
      </c>
      <c r="C58" s="123" t="s">
        <v>18</v>
      </c>
      <c r="D58" s="123" t="s">
        <v>19</v>
      </c>
    </row>
    <row r="59" spans="1:4">
      <c r="A59" s="123" t="s">
        <v>42</v>
      </c>
      <c r="B59" t="s">
        <v>98</v>
      </c>
      <c r="C59" s="124"/>
      <c r="D59" s="141">
        <f>TRUNC((((365/12/2)*3.75)*2)-((D25/100)*6),2)</f>
        <v>46.62</v>
      </c>
    </row>
    <row r="60" spans="1:4">
      <c r="A60" s="123" t="s">
        <v>45</v>
      </c>
      <c r="B60" t="s">
        <v>99</v>
      </c>
      <c r="C60" s="124" t="str">
        <f>C9</f>
        <v>CCT PB000047/2021</v>
      </c>
      <c r="D60" s="125">
        <f>TRUNC((((22*18))-(((22*18))*0.2)),2)</f>
        <v>316.8</v>
      </c>
    </row>
    <row r="61" spans="1:4">
      <c r="A61" s="123" t="s">
        <v>48</v>
      </c>
      <c r="B61" t="s">
        <v>100</v>
      </c>
      <c r="C61" s="124"/>
      <c r="D61" s="125">
        <v>0</v>
      </c>
    </row>
    <row r="62" spans="1:6">
      <c r="A62" s="142" t="s">
        <v>50</v>
      </c>
      <c r="B62" s="143" t="s">
        <v>206</v>
      </c>
      <c r="C62" s="144"/>
      <c r="D62" s="144">
        <f>TRUNC(((((($D$25+$D$26+$D$28+$D$29)/220)*1.5)*(365/12))/2),2)</f>
        <v>116.55</v>
      </c>
      <c r="F62" s="143"/>
    </row>
    <row r="63" spans="1:4">
      <c r="A63" s="123" t="s">
        <v>53</v>
      </c>
      <c r="B63" s="128" t="s">
        <v>207</v>
      </c>
      <c r="C63" s="124" t="str">
        <f>C60</f>
        <v>CCT PB000047/2021</v>
      </c>
      <c r="D63" s="125">
        <v>15</v>
      </c>
    </row>
    <row r="64" spans="1:4">
      <c r="A64" s="123" t="s">
        <v>55</v>
      </c>
      <c r="B64" s="145" t="s">
        <v>208</v>
      </c>
      <c r="C64" s="144" t="str">
        <f>C60</f>
        <v>CCT PB000047/2021</v>
      </c>
      <c r="D64" s="125">
        <v>5</v>
      </c>
    </row>
    <row r="65" spans="1:4">
      <c r="A65" s="123" t="s">
        <v>58</v>
      </c>
      <c r="D65" s="130">
        <f>TRUNC((SUM(D59:D64)),2)</f>
        <v>499.97</v>
      </c>
    </row>
    <row r="66" spans="1:4">
      <c r="A66" s="123"/>
      <c r="D66" s="130"/>
    </row>
    <row r="67" spans="1:4">
      <c r="A67" s="122" t="s">
        <v>105</v>
      </c>
      <c r="B67" s="122"/>
      <c r="C67" s="122"/>
      <c r="D67" s="122"/>
    </row>
    <row r="68" spans="1:4">
      <c r="A68" s="123" t="s">
        <v>106</v>
      </c>
      <c r="B68" s="128" t="s">
        <v>107</v>
      </c>
      <c r="C68" s="123" t="s">
        <v>18</v>
      </c>
      <c r="D68" s="123" t="s">
        <v>19</v>
      </c>
    </row>
    <row r="69" spans="1:4">
      <c r="A69" s="123" t="s">
        <v>65</v>
      </c>
      <c r="B69" t="s">
        <v>66</v>
      </c>
      <c r="C69" s="123"/>
      <c r="D69" s="130">
        <f>D39</f>
        <v>218.54</v>
      </c>
    </row>
    <row r="70" spans="1:4">
      <c r="A70" s="123" t="s">
        <v>78</v>
      </c>
      <c r="B70" t="s">
        <v>79</v>
      </c>
      <c r="C70" s="123"/>
      <c r="D70" s="130">
        <f>D55</f>
        <v>534.29</v>
      </c>
    </row>
    <row r="71" spans="1:4">
      <c r="A71" s="123" t="s">
        <v>96</v>
      </c>
      <c r="B71" t="s">
        <v>97</v>
      </c>
      <c r="C71" s="123"/>
      <c r="D71" s="130">
        <f>D65</f>
        <v>499.97</v>
      </c>
    </row>
    <row r="72" spans="1:4">
      <c r="A72" s="123" t="s">
        <v>58</v>
      </c>
      <c r="C72" s="123"/>
      <c r="D72" s="130">
        <f>TRUNC((SUM(D69:D71)),2)</f>
        <v>1252.8</v>
      </c>
    </row>
    <row r="74" spans="1:4">
      <c r="A74" s="106" t="s">
        <v>108</v>
      </c>
      <c r="B74" s="106"/>
      <c r="C74" s="106"/>
      <c r="D74" s="106"/>
    </row>
    <row r="75" spans="1:4">
      <c r="A75" s="123" t="s">
        <v>109</v>
      </c>
      <c r="B75" s="128" t="s">
        <v>110</v>
      </c>
      <c r="C75" s="123" t="s">
        <v>38</v>
      </c>
      <c r="D75" s="123" t="s">
        <v>19</v>
      </c>
    </row>
    <row r="76" spans="1:4">
      <c r="A76" s="123" t="s">
        <v>42</v>
      </c>
      <c r="B76" t="s">
        <v>111</v>
      </c>
      <c r="C76" s="140">
        <f>((1/12)*5%)</f>
        <v>0.00416666666666667</v>
      </c>
      <c r="D76" s="125">
        <f t="shared" ref="D76:D79" si="1">TRUNC(($D$31*C76),2)</f>
        <v>4.68</v>
      </c>
    </row>
    <row r="77" spans="1:4">
      <c r="A77" s="123" t="s">
        <v>45</v>
      </c>
      <c r="B77" t="s">
        <v>112</v>
      </c>
      <c r="C77" s="146">
        <v>0.08</v>
      </c>
      <c r="D77" s="130">
        <f>TRUNC(($D$76*C77),2)</f>
        <v>0.37</v>
      </c>
    </row>
    <row r="78" spans="1:4">
      <c r="A78" s="123" t="s">
        <v>48</v>
      </c>
      <c r="B78" s="147" t="s">
        <v>113</v>
      </c>
      <c r="C78" s="148">
        <f>(0.08*0.4*0.05)</f>
        <v>0.0016</v>
      </c>
      <c r="D78" s="144">
        <f t="shared" si="1"/>
        <v>1.79</v>
      </c>
    </row>
    <row r="79" spans="1:4">
      <c r="A79" s="123" t="s">
        <v>50</v>
      </c>
      <c r="B79" t="s">
        <v>114</v>
      </c>
      <c r="C79" s="149">
        <f>(((7/30)/12)*0.95)</f>
        <v>0.0184722222222222</v>
      </c>
      <c r="D79" s="150">
        <f t="shared" si="1"/>
        <v>20.76</v>
      </c>
    </row>
    <row r="80" spans="1:4">
      <c r="A80" s="123" t="s">
        <v>53</v>
      </c>
      <c r="B80" s="147" t="s">
        <v>209</v>
      </c>
      <c r="C80" s="148">
        <f>C55</f>
        <v>0.398</v>
      </c>
      <c r="D80" s="144">
        <f>TRUNC(($D$79*C80),2)</f>
        <v>8.26</v>
      </c>
    </row>
    <row r="81" spans="1:4">
      <c r="A81" s="123" t="s">
        <v>55</v>
      </c>
      <c r="B81" s="147" t="s">
        <v>115</v>
      </c>
      <c r="C81" s="148">
        <f>(0.08*0.4*0.95)</f>
        <v>0.0304</v>
      </c>
      <c r="D81" s="144">
        <f>TRUNC(($D$31*C81),2)</f>
        <v>34.16</v>
      </c>
    </row>
    <row r="82" spans="1:4">
      <c r="A82" s="123" t="s">
        <v>58</v>
      </c>
      <c r="C82" s="146">
        <f>SUM(C76:C81)</f>
        <v>0.532638888888889</v>
      </c>
      <c r="D82" s="130">
        <f>TRUNC((SUM(D76:D81)),2)</f>
        <v>70.02</v>
      </c>
    </row>
    <row r="83" ht="15.15" spans="1:4">
      <c r="A83" s="123"/>
      <c r="D83" s="130"/>
    </row>
    <row r="84" ht="15.9" spans="1:4">
      <c r="A84" s="134" t="s">
        <v>210</v>
      </c>
      <c r="B84" s="134"/>
      <c r="C84" s="135" t="s">
        <v>202</v>
      </c>
      <c r="D84" s="136">
        <f>D31</f>
        <v>1124</v>
      </c>
    </row>
    <row r="85" ht="15.9" spans="1:4">
      <c r="A85" s="134"/>
      <c r="B85" s="134"/>
      <c r="C85" s="137" t="s">
        <v>211</v>
      </c>
      <c r="D85" s="136">
        <f>D72</f>
        <v>1252.8</v>
      </c>
    </row>
    <row r="86" ht="15.9" spans="1:4">
      <c r="A86" s="134"/>
      <c r="B86" s="134"/>
      <c r="C86" s="135" t="s">
        <v>212</v>
      </c>
      <c r="D86" s="136">
        <f>D82</f>
        <v>70.02</v>
      </c>
    </row>
    <row r="87" ht="15.9" spans="1:4">
      <c r="A87" s="134"/>
      <c r="B87" s="134"/>
      <c r="C87" s="137" t="s">
        <v>204</v>
      </c>
      <c r="D87" s="138">
        <f>TRUNC((SUM(D84:D86)),2)</f>
        <v>2446.82</v>
      </c>
    </row>
    <row r="88" ht="15.15" spans="1:4">
      <c r="A88" s="123"/>
      <c r="D88" s="130"/>
    </row>
    <row r="89" spans="1:4">
      <c r="A89" s="151" t="s">
        <v>127</v>
      </c>
      <c r="B89" s="151"/>
      <c r="C89" s="151"/>
      <c r="D89" s="151"/>
    </row>
    <row r="90" spans="1:4">
      <c r="A90" s="122" t="s">
        <v>128</v>
      </c>
      <c r="B90" s="122"/>
      <c r="C90" s="122"/>
      <c r="D90" s="122"/>
    </row>
    <row r="91" spans="1:4">
      <c r="A91" s="123" t="s">
        <v>129</v>
      </c>
      <c r="B91" s="128" t="s">
        <v>130</v>
      </c>
      <c r="C91" s="123" t="s">
        <v>38</v>
      </c>
      <c r="D91" s="123" t="s">
        <v>19</v>
      </c>
    </row>
    <row r="92" spans="1:4">
      <c r="A92" s="123" t="s">
        <v>42</v>
      </c>
      <c r="B92" t="s">
        <v>213</v>
      </c>
      <c r="C92" s="146">
        <f>(((1+1/3)/12)/12)+((1/12)/12)</f>
        <v>0.0162037037037037</v>
      </c>
      <c r="D92" s="130">
        <f t="shared" ref="D92:D96" si="2">TRUNC(($D$87*C92),2)</f>
        <v>39.64</v>
      </c>
    </row>
    <row r="93" spans="1:4">
      <c r="A93" s="123" t="s">
        <v>45</v>
      </c>
      <c r="B93" t="s">
        <v>133</v>
      </c>
      <c r="C93" s="140">
        <f>((2/30)/12)</f>
        <v>0.00555555555555556</v>
      </c>
      <c r="D93" s="144">
        <f t="shared" si="2"/>
        <v>13.59</v>
      </c>
    </row>
    <row r="94" spans="1:4">
      <c r="A94" s="123" t="s">
        <v>48</v>
      </c>
      <c r="B94" t="s">
        <v>134</v>
      </c>
      <c r="C94" s="140">
        <f>((5/30)/12)*0.02</f>
        <v>0.000277777777777778</v>
      </c>
      <c r="D94" s="144">
        <f t="shared" si="2"/>
        <v>0.67</v>
      </c>
    </row>
    <row r="95" spans="1:4">
      <c r="A95" s="142" t="s">
        <v>50</v>
      </c>
      <c r="B95" s="147" t="s">
        <v>135</v>
      </c>
      <c r="C95" s="148">
        <f>((15/30)/12)*0.08</f>
        <v>0.00333333333333333</v>
      </c>
      <c r="D95" s="144">
        <f t="shared" si="2"/>
        <v>8.15</v>
      </c>
    </row>
    <row r="96" spans="1:4">
      <c r="A96" s="123" t="s">
        <v>53</v>
      </c>
      <c r="B96" t="s">
        <v>136</v>
      </c>
      <c r="C96" s="140">
        <f>((1+1/3)/12)*0.03*((4/12))</f>
        <v>0.00111111111111111</v>
      </c>
      <c r="D96" s="144">
        <f t="shared" si="2"/>
        <v>2.71</v>
      </c>
    </row>
    <row r="97" spans="1:4">
      <c r="A97" s="123" t="s">
        <v>55</v>
      </c>
      <c r="B97" s="147" t="s">
        <v>214</v>
      </c>
      <c r="C97" s="152">
        <v>0</v>
      </c>
      <c r="D97" s="144">
        <f>TRUNC($D$87*C97)</f>
        <v>0</v>
      </c>
    </row>
    <row r="98" spans="1:4">
      <c r="A98" s="123" t="s">
        <v>58</v>
      </c>
      <c r="C98" s="146">
        <f>SUM(C92:C97)</f>
        <v>0.0264814814814815</v>
      </c>
      <c r="D98" s="130">
        <f>TRUNC((SUM(D92:D97)),2)</f>
        <v>64.76</v>
      </c>
    </row>
    <row r="99" spans="1:4">
      <c r="A99" s="123"/>
      <c r="C99" s="123"/>
      <c r="D99" s="130"/>
    </row>
    <row r="100" spans="1:4">
      <c r="A100" s="122" t="s">
        <v>144</v>
      </c>
      <c r="B100" s="122"/>
      <c r="C100" s="122"/>
      <c r="D100" s="122"/>
    </row>
    <row r="101" spans="1:4">
      <c r="A101" s="123" t="s">
        <v>145</v>
      </c>
      <c r="B101" s="128" t="s">
        <v>146</v>
      </c>
      <c r="C101" s="123" t="s">
        <v>18</v>
      </c>
      <c r="D101" s="123" t="s">
        <v>19</v>
      </c>
    </row>
    <row r="102" ht="100.8" spans="1:4">
      <c r="A102" s="142" t="s">
        <v>42</v>
      </c>
      <c r="B102" s="153" t="s">
        <v>147</v>
      </c>
      <c r="C102" s="154" t="s">
        <v>215</v>
      </c>
      <c r="D102" s="155" t="s">
        <v>216</v>
      </c>
    </row>
    <row r="103" spans="1:4">
      <c r="A103" s="123" t="s">
        <v>58</v>
      </c>
      <c r="C103" s="123"/>
      <c r="D103" s="157" t="str">
        <f>D102</f>
        <v>*=TRUNCAR(($D$86/220)*(1*(365/12))/2)</v>
      </c>
    </row>
    <row r="105" spans="1:4">
      <c r="A105" s="122" t="s">
        <v>148</v>
      </c>
      <c r="B105" s="122"/>
      <c r="C105" s="122"/>
      <c r="D105" s="122"/>
    </row>
    <row r="106" spans="1:4">
      <c r="A106" s="123" t="s">
        <v>149</v>
      </c>
      <c r="B106" s="128" t="s">
        <v>150</v>
      </c>
      <c r="C106" s="123" t="s">
        <v>18</v>
      </c>
      <c r="D106" s="123" t="s">
        <v>19</v>
      </c>
    </row>
    <row r="107" spans="1:4">
      <c r="A107" s="123" t="s">
        <v>129</v>
      </c>
      <c r="B107" t="s">
        <v>130</v>
      </c>
      <c r="D107" s="125">
        <f>D98</f>
        <v>64.76</v>
      </c>
    </row>
    <row r="108" spans="1:4">
      <c r="A108" s="123" t="s">
        <v>145</v>
      </c>
      <c r="B108" t="s">
        <v>151</v>
      </c>
      <c r="C108" s="128"/>
      <c r="D108" s="158" t="str">
        <f>Submódulo4.260_5573[[#Totals],[Valor]]</f>
        <v>*=TRUNCAR(($D$86/220)*(1*(365/12))/2)</v>
      </c>
    </row>
    <row r="109" ht="72" spans="1:4">
      <c r="A109" s="142" t="s">
        <v>58</v>
      </c>
      <c r="B109" s="143"/>
      <c r="C109" s="154" t="s">
        <v>217</v>
      </c>
      <c r="D109" s="159">
        <f>TRUNC((SUM(D107:D108)),2)</f>
        <v>64.76</v>
      </c>
    </row>
    <row r="111" spans="1:4">
      <c r="A111" s="106" t="s">
        <v>152</v>
      </c>
      <c r="B111" s="106"/>
      <c r="C111" s="106"/>
      <c r="D111" s="106"/>
    </row>
    <row r="112" spans="1:4">
      <c r="A112" s="142" t="s">
        <v>153</v>
      </c>
      <c r="B112" s="143" t="s">
        <v>154</v>
      </c>
      <c r="C112" s="142" t="s">
        <v>18</v>
      </c>
      <c r="D112" s="142" t="s">
        <v>19</v>
      </c>
    </row>
    <row r="113" spans="1:4">
      <c r="A113" s="123" t="s">
        <v>42</v>
      </c>
      <c r="B113" t="s">
        <v>218</v>
      </c>
      <c r="D113" s="160">
        <f>Uniformes!G50</f>
        <v>71.61</v>
      </c>
    </row>
    <row r="114" spans="1:4">
      <c r="A114" s="123" t="s">
        <v>45</v>
      </c>
      <c r="B114" t="s">
        <v>219</v>
      </c>
      <c r="D114" s="125">
        <v>0</v>
      </c>
    </row>
    <row r="115" spans="1:4">
      <c r="A115" s="123" t="s">
        <v>48</v>
      </c>
      <c r="B115" t="s">
        <v>156</v>
      </c>
      <c r="D115" s="160">
        <f>Materiais!G6</f>
        <v>4.75</v>
      </c>
    </row>
    <row r="116" spans="1:4">
      <c r="A116" s="123" t="s">
        <v>50</v>
      </c>
      <c r="B116" t="s">
        <v>157</v>
      </c>
      <c r="D116" s="125">
        <v>0</v>
      </c>
    </row>
    <row r="117" spans="1:4">
      <c r="A117" s="123" t="s">
        <v>53</v>
      </c>
      <c r="B117" t="s">
        <v>220</v>
      </c>
      <c r="D117" s="125">
        <f>H116</f>
        <v>0</v>
      </c>
    </row>
    <row r="118" spans="1:4">
      <c r="A118" s="123" t="s">
        <v>58</v>
      </c>
      <c r="D118" s="130">
        <f>TRUNC(SUM(D113:D117),2)</f>
        <v>76.36</v>
      </c>
    </row>
    <row r="119" ht="15.15"/>
    <row r="120" ht="15.9" spans="1:4">
      <c r="A120" s="134" t="s">
        <v>221</v>
      </c>
      <c r="B120" s="134"/>
      <c r="C120" s="135" t="s">
        <v>202</v>
      </c>
      <c r="D120" s="136">
        <f>D31</f>
        <v>1124</v>
      </c>
    </row>
    <row r="121" ht="15.9" spans="1:4">
      <c r="A121" s="134"/>
      <c r="B121" s="134"/>
      <c r="C121" s="137" t="s">
        <v>211</v>
      </c>
      <c r="D121" s="136">
        <f>D72</f>
        <v>1252.8</v>
      </c>
    </row>
    <row r="122" ht="15.9" spans="1:4">
      <c r="A122" s="134"/>
      <c r="B122" s="134"/>
      <c r="C122" s="135" t="s">
        <v>212</v>
      </c>
      <c r="D122" s="136">
        <f>D82</f>
        <v>70.02</v>
      </c>
    </row>
    <row r="123" ht="15.9" spans="1:4">
      <c r="A123" s="134"/>
      <c r="B123" s="134"/>
      <c r="C123" s="137" t="s">
        <v>222</v>
      </c>
      <c r="D123" s="136">
        <f>D109</f>
        <v>64.76</v>
      </c>
    </row>
    <row r="124" ht="15.9" spans="1:4">
      <c r="A124" s="134"/>
      <c r="B124" s="134"/>
      <c r="C124" s="135" t="s">
        <v>223</v>
      </c>
      <c r="D124" s="136">
        <f>D118</f>
        <v>76.36</v>
      </c>
    </row>
    <row r="125" ht="15.9" spans="1:4">
      <c r="A125" s="134"/>
      <c r="B125" s="134"/>
      <c r="C125" s="137" t="s">
        <v>204</v>
      </c>
      <c r="D125" s="138">
        <f>TRUNC((SUM(D120:D124)),2)</f>
        <v>2587.94</v>
      </c>
    </row>
    <row r="126" ht="15.15"/>
    <row r="127" spans="1:4">
      <c r="A127" s="106" t="s">
        <v>164</v>
      </c>
      <c r="B127" s="106"/>
      <c r="C127" s="106"/>
      <c r="D127" s="106"/>
    </row>
    <row r="128" spans="1:7">
      <c r="A128" s="123" t="s">
        <v>165</v>
      </c>
      <c r="B128" t="s">
        <v>166</v>
      </c>
      <c r="C128" s="123" t="s">
        <v>38</v>
      </c>
      <c r="D128" s="123" t="s">
        <v>19</v>
      </c>
      <c r="F128" s="161" t="s">
        <v>224</v>
      </c>
      <c r="G128" s="161"/>
    </row>
    <row r="129" ht="15.15" spans="1:7">
      <c r="A129" s="123" t="s">
        <v>42</v>
      </c>
      <c r="B129" t="s">
        <v>167</v>
      </c>
      <c r="C129" s="162">
        <v>0.044</v>
      </c>
      <c r="D129" s="160">
        <f>TRUNC(($D$125*C129),2)</f>
        <v>113.86</v>
      </c>
      <c r="F129" s="163" t="s">
        <v>225</v>
      </c>
      <c r="G129" s="148">
        <f>C131</f>
        <v>0.0865</v>
      </c>
    </row>
    <row r="130" ht="15.15" spans="1:7">
      <c r="A130" s="123" t="s">
        <v>45</v>
      </c>
      <c r="B130" t="s">
        <v>59</v>
      </c>
      <c r="C130" s="162">
        <v>0.0413</v>
      </c>
      <c r="D130" s="160">
        <f>TRUNC((C130*(D125+D129)),2)</f>
        <v>111.58</v>
      </c>
      <c r="F130" s="164" t="s">
        <v>226</v>
      </c>
      <c r="G130" s="174">
        <f>TRUNC(SUM(D125,D129,D130),2)</f>
        <v>2813.38</v>
      </c>
    </row>
    <row r="131" ht="15.15" spans="1:7">
      <c r="A131" s="123" t="s">
        <v>48</v>
      </c>
      <c r="B131" t="s">
        <v>168</v>
      </c>
      <c r="C131" s="140">
        <f>SUM(C132:C134)</f>
        <v>0.0865</v>
      </c>
      <c r="D131" s="125">
        <f>TRUNC((SUM(D132:D134)),2)</f>
        <v>266.38</v>
      </c>
      <c r="F131" s="163" t="s">
        <v>227</v>
      </c>
      <c r="G131" s="166">
        <f>(100-8.65)/100</f>
        <v>0.9135</v>
      </c>
    </row>
    <row r="132" spans="1:7">
      <c r="A132" s="123"/>
      <c r="B132" t="s">
        <v>228</v>
      </c>
      <c r="C132" s="140">
        <v>0.0065</v>
      </c>
      <c r="D132" s="125">
        <f t="shared" ref="D132:D134" si="3">TRUNC(($G$132*C132),2)</f>
        <v>20.01</v>
      </c>
      <c r="F132" s="164" t="s">
        <v>224</v>
      </c>
      <c r="G132" s="174">
        <f>TRUNC((G130/G131),2)</f>
        <v>3079.78</v>
      </c>
    </row>
    <row r="133" spans="1:4">
      <c r="A133" s="123"/>
      <c r="B133" t="s">
        <v>229</v>
      </c>
      <c r="C133" s="140">
        <v>0.03</v>
      </c>
      <c r="D133" s="125">
        <f t="shared" si="3"/>
        <v>92.39</v>
      </c>
    </row>
    <row r="134" spans="1:4">
      <c r="A134" s="123"/>
      <c r="B134" t="s">
        <v>230</v>
      </c>
      <c r="C134" s="140">
        <v>0.05</v>
      </c>
      <c r="D134" s="125">
        <f t="shared" si="3"/>
        <v>153.98</v>
      </c>
    </row>
    <row r="135" spans="1:4">
      <c r="A135" s="123" t="s">
        <v>58</v>
      </c>
      <c r="C135" s="167"/>
      <c r="D135" s="130">
        <f>TRUNC(SUM(D129:D131),2)</f>
        <v>491.82</v>
      </c>
    </row>
    <row r="136" spans="1:4">
      <c r="A136" s="123"/>
      <c r="C136" s="167"/>
      <c r="D136" s="130"/>
    </row>
    <row r="138" spans="1:4">
      <c r="A138" s="106" t="s">
        <v>172</v>
      </c>
      <c r="B138" s="106"/>
      <c r="C138" s="106"/>
      <c r="D138" s="106"/>
    </row>
    <row r="139" spans="1:4">
      <c r="A139" s="123" t="s">
        <v>16</v>
      </c>
      <c r="B139" s="123" t="s">
        <v>173</v>
      </c>
      <c r="C139" s="123" t="s">
        <v>102</v>
      </c>
      <c r="D139" s="123" t="s">
        <v>19</v>
      </c>
    </row>
    <row r="140" spans="1:4">
      <c r="A140" s="123" t="s">
        <v>42</v>
      </c>
      <c r="B140" t="s">
        <v>36</v>
      </c>
      <c r="D140" s="130">
        <f>D31</f>
        <v>1124</v>
      </c>
    </row>
    <row r="141" spans="1:4">
      <c r="A141" s="123" t="s">
        <v>45</v>
      </c>
      <c r="B141" t="s">
        <v>61</v>
      </c>
      <c r="D141" s="130">
        <f>D72</f>
        <v>1252.8</v>
      </c>
    </row>
    <row r="142" spans="1:4">
      <c r="A142" s="123" t="s">
        <v>48</v>
      </c>
      <c r="B142" t="s">
        <v>108</v>
      </c>
      <c r="D142" s="130">
        <f>D82</f>
        <v>70.02</v>
      </c>
    </row>
    <row r="143" spans="1:4">
      <c r="A143" s="123" t="s">
        <v>50</v>
      </c>
      <c r="B143" t="s">
        <v>174</v>
      </c>
      <c r="D143" s="130">
        <f>D109</f>
        <v>64.76</v>
      </c>
    </row>
    <row r="144" spans="1:4">
      <c r="A144" s="123" t="s">
        <v>53</v>
      </c>
      <c r="B144" t="s">
        <v>152</v>
      </c>
      <c r="D144" s="130">
        <f>D118</f>
        <v>76.36</v>
      </c>
    </row>
    <row r="145" spans="2:4">
      <c r="B145" s="168" t="s">
        <v>175</v>
      </c>
      <c r="D145" s="130">
        <f>TRUNC(SUM(D140:D144),2)</f>
        <v>2587.94</v>
      </c>
    </row>
    <row r="146" spans="1:4">
      <c r="A146" s="123" t="s">
        <v>55</v>
      </c>
      <c r="B146" t="s">
        <v>164</v>
      </c>
      <c r="D146" s="130">
        <f>D135</f>
        <v>491.82</v>
      </c>
    </row>
    <row r="147" spans="1:4">
      <c r="A147" s="169"/>
      <c r="B147" s="170" t="s">
        <v>231</v>
      </c>
      <c r="C147" s="169"/>
      <c r="D147" s="171">
        <f>TRUNC((SUM(D140:D144)+D146),2)</f>
        <v>3079.76</v>
      </c>
    </row>
    <row r="148" spans="1:4">
      <c r="A148" s="175"/>
      <c r="B148" s="176" t="s">
        <v>239</v>
      </c>
      <c r="C148" s="175"/>
      <c r="D148" s="177">
        <f>TRUNC(D147*2,2)</f>
        <v>6159.52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zoomScale="90" zoomScaleNormal="90" topLeftCell="A130" workbookViewId="0">
      <selection activeCell="F24" sqref="F24"/>
    </sheetView>
  </sheetViews>
  <sheetFormatPr defaultColWidth="9.13888888888889" defaultRowHeight="14.4" outlineLevelCol="6"/>
  <cols>
    <col min="1" max="1" width="11.7222222222222" customWidth="1"/>
    <col min="2" max="2" width="49.75" customWidth="1"/>
    <col min="3" max="3" width="27.5277777777778" customWidth="1"/>
    <col min="4" max="4" width="34.1851851851852" customWidth="1"/>
    <col min="6" max="6" width="22.8611111111111" customWidth="1"/>
    <col min="7" max="7" width="12.8611111111111" customWidth="1"/>
    <col min="8" max="8" width="10" customWidth="1"/>
    <col min="9" max="9" width="11.4259259259259" customWidth="1"/>
  </cols>
  <sheetData>
    <row r="2" ht="18.75" spans="1:4">
      <c r="A2" s="99" t="s">
        <v>177</v>
      </c>
      <c r="B2" s="99"/>
      <c r="C2" s="99"/>
      <c r="D2" s="99"/>
    </row>
    <row r="3" ht="15.15" spans="1:4">
      <c r="A3" s="100" t="s">
        <v>178</v>
      </c>
      <c r="B3" s="100"/>
      <c r="C3" s="100"/>
      <c r="D3" s="100"/>
    </row>
    <row r="4" spans="1:4">
      <c r="A4" s="101" t="s">
        <v>179</v>
      </c>
      <c r="B4" s="102" t="s">
        <v>180</v>
      </c>
      <c r="C4" s="103"/>
      <c r="D4" s="103"/>
    </row>
    <row r="5" spans="1:4">
      <c r="A5" s="104"/>
      <c r="B5" s="105"/>
      <c r="C5" s="105"/>
      <c r="D5" s="105"/>
    </row>
    <row r="6" ht="15.15" spans="1:4">
      <c r="A6" s="106" t="s">
        <v>181</v>
      </c>
      <c r="B6" s="106"/>
      <c r="C6" s="106"/>
      <c r="D6" s="106"/>
    </row>
    <row r="7" ht="15.15" spans="1:4">
      <c r="A7" s="107" t="s">
        <v>42</v>
      </c>
      <c r="B7" s="108" t="s">
        <v>182</v>
      </c>
      <c r="C7" s="109" t="s">
        <v>183</v>
      </c>
      <c r="D7" s="109"/>
    </row>
    <row r="8" spans="1:4">
      <c r="A8" s="110" t="s">
        <v>45</v>
      </c>
      <c r="B8" s="111" t="s">
        <v>184</v>
      </c>
      <c r="C8" s="112" t="s">
        <v>185</v>
      </c>
      <c r="D8" s="112"/>
    </row>
    <row r="9" spans="1:4">
      <c r="A9" s="113" t="s">
        <v>48</v>
      </c>
      <c r="B9" s="114" t="s">
        <v>186</v>
      </c>
      <c r="C9" s="112" t="s">
        <v>240</v>
      </c>
      <c r="D9" s="112"/>
    </row>
    <row r="10" spans="1:4">
      <c r="A10" s="110" t="s">
        <v>53</v>
      </c>
      <c r="B10" s="111" t="s">
        <v>188</v>
      </c>
      <c r="C10" s="112" t="s">
        <v>189</v>
      </c>
      <c r="D10" s="112"/>
    </row>
    <row r="11" ht="15.15" spans="1:4">
      <c r="A11" s="115" t="s">
        <v>190</v>
      </c>
      <c r="B11" s="115"/>
      <c r="C11" s="115"/>
      <c r="D11" s="115"/>
    </row>
    <row r="12" ht="15.9" spans="1:4">
      <c r="A12" s="116" t="s">
        <v>191</v>
      </c>
      <c r="B12" s="116"/>
      <c r="C12" s="115" t="s">
        <v>192</v>
      </c>
      <c r="D12" s="117" t="s">
        <v>193</v>
      </c>
    </row>
    <row r="13" ht="15.15" spans="1:4">
      <c r="A13" s="118" t="s">
        <v>241</v>
      </c>
      <c r="B13" s="118"/>
      <c r="C13" s="112" t="s">
        <v>195</v>
      </c>
      <c r="D13" s="119">
        <f>RESUMO!D7</f>
        <v>1</v>
      </c>
    </row>
    <row r="14" spans="1:4">
      <c r="A14" s="120"/>
      <c r="B14" s="120"/>
      <c r="C14" s="112"/>
      <c r="D14" s="121"/>
    </row>
    <row r="15" ht="15.15" spans="1:7">
      <c r="A15" s="115" t="s">
        <v>14</v>
      </c>
      <c r="B15" s="115"/>
      <c r="C15" s="115"/>
      <c r="D15" s="115"/>
      <c r="F15" s="122"/>
      <c r="G15" s="122"/>
    </row>
    <row r="16" ht="15.15" spans="1:4">
      <c r="A16" s="123" t="s">
        <v>16</v>
      </c>
      <c r="B16" t="s">
        <v>17</v>
      </c>
      <c r="C16" s="123" t="s">
        <v>18</v>
      </c>
      <c r="D16" s="123" t="s">
        <v>19</v>
      </c>
    </row>
    <row r="17" spans="1:4">
      <c r="A17" s="123">
        <v>1</v>
      </c>
      <c r="B17" t="s">
        <v>20</v>
      </c>
      <c r="C17" s="124" t="s">
        <v>102</v>
      </c>
      <c r="D17" s="124" t="str">
        <f>A13</f>
        <v>Motorista Intermunicipal</v>
      </c>
    </row>
    <row r="18" spans="1:4">
      <c r="A18" s="123">
        <v>2</v>
      </c>
      <c r="B18" t="s">
        <v>23</v>
      </c>
      <c r="C18" s="124" t="s">
        <v>196</v>
      </c>
      <c r="D18" s="124" t="s">
        <v>242</v>
      </c>
    </row>
    <row r="19" spans="1:4">
      <c r="A19" s="123">
        <v>3</v>
      </c>
      <c r="B19" t="s">
        <v>26</v>
      </c>
      <c r="C19" s="124" t="str">
        <f>C9</f>
        <v>CCT PB000035/2019*</v>
      </c>
      <c r="D19" s="125">
        <v>2200</v>
      </c>
    </row>
    <row r="20" spans="1:4">
      <c r="A20" s="123">
        <v>4</v>
      </c>
      <c r="B20" t="s">
        <v>29</v>
      </c>
      <c r="C20" s="124" t="str">
        <f>C9</f>
        <v>CCT PB000035/2019*</v>
      </c>
      <c r="D20" s="126" t="s">
        <v>243</v>
      </c>
    </row>
    <row r="21" spans="1:4">
      <c r="A21" s="123">
        <v>5</v>
      </c>
      <c r="B21" t="s">
        <v>33</v>
      </c>
      <c r="C21" s="124" t="str">
        <f>C9</f>
        <v>CCT PB000035/2019*</v>
      </c>
      <c r="D21" s="127" t="s">
        <v>199</v>
      </c>
    </row>
    <row r="22" spans="6:7">
      <c r="F22" s="122"/>
      <c r="G22" s="122"/>
    </row>
    <row r="23" spans="1:4">
      <c r="A23" s="106" t="s">
        <v>36</v>
      </c>
      <c r="B23" s="106"/>
      <c r="C23" s="106"/>
      <c r="D23" s="106"/>
    </row>
    <row r="24" spans="1:7">
      <c r="A24" s="123" t="s">
        <v>39</v>
      </c>
      <c r="B24" s="128" t="s">
        <v>40</v>
      </c>
      <c r="C24" s="123" t="s">
        <v>18</v>
      </c>
      <c r="D24" s="123" t="s">
        <v>19</v>
      </c>
      <c r="G24" s="129"/>
    </row>
    <row r="25" spans="1:7">
      <c r="A25" s="123" t="s">
        <v>42</v>
      </c>
      <c r="B25" t="s">
        <v>43</v>
      </c>
      <c r="C25" s="126" t="str">
        <f>C9</f>
        <v>CCT PB000035/2019*</v>
      </c>
      <c r="D25" s="125">
        <f>D19</f>
        <v>2200</v>
      </c>
      <c r="G25" s="129"/>
    </row>
    <row r="26" spans="1:7">
      <c r="A26" s="123" t="s">
        <v>45</v>
      </c>
      <c r="B26" t="s">
        <v>46</v>
      </c>
      <c r="C26" s="126"/>
      <c r="D26" s="125">
        <v>0</v>
      </c>
      <c r="G26" s="129"/>
    </row>
    <row r="27" spans="1:4">
      <c r="A27" s="123" t="s">
        <v>48</v>
      </c>
      <c r="B27" t="s">
        <v>49</v>
      </c>
      <c r="C27" s="126"/>
      <c r="D27" s="125">
        <v>0</v>
      </c>
    </row>
    <row r="28" spans="1:4">
      <c r="A28" s="123" t="s">
        <v>50</v>
      </c>
      <c r="B28" t="s">
        <v>51</v>
      </c>
      <c r="C28" s="126"/>
      <c r="D28" s="125">
        <v>0</v>
      </c>
    </row>
    <row r="29" spans="1:4">
      <c r="A29" s="123" t="s">
        <v>53</v>
      </c>
      <c r="B29" t="s">
        <v>54</v>
      </c>
      <c r="C29" s="126"/>
      <c r="D29" s="125">
        <v>0</v>
      </c>
    </row>
    <row r="30" spans="1:4">
      <c r="A30" s="123" t="s">
        <v>55</v>
      </c>
      <c r="B30" t="s">
        <v>56</v>
      </c>
      <c r="C30" s="126"/>
      <c r="D30" s="125">
        <v>0</v>
      </c>
    </row>
    <row r="31" spans="1:7">
      <c r="A31" s="123" t="s">
        <v>58</v>
      </c>
      <c r="C31" s="123"/>
      <c r="D31" s="130">
        <f>TRUNC(SUM(D25:D30),2)</f>
        <v>2200</v>
      </c>
      <c r="F31" s="122"/>
      <c r="G31" s="122"/>
    </row>
    <row r="33" spans="1:7">
      <c r="A33" s="131" t="s">
        <v>61</v>
      </c>
      <c r="B33" s="131"/>
      <c r="C33" s="131"/>
      <c r="D33" s="131"/>
      <c r="G33" s="129"/>
    </row>
    <row r="35" spans="1:4">
      <c r="A35" s="122" t="s">
        <v>63</v>
      </c>
      <c r="B35" s="122"/>
      <c r="C35" s="122"/>
      <c r="D35" s="122"/>
    </row>
    <row r="36" spans="1:4">
      <c r="A36" s="123" t="s">
        <v>65</v>
      </c>
      <c r="B36" s="128" t="s">
        <v>66</v>
      </c>
      <c r="C36" s="123" t="s">
        <v>38</v>
      </c>
      <c r="D36" s="123" t="s">
        <v>19</v>
      </c>
    </row>
    <row r="37" spans="1:7">
      <c r="A37" s="123" t="s">
        <v>42</v>
      </c>
      <c r="B37" t="s">
        <v>67</v>
      </c>
      <c r="C37" s="132">
        <f>(1/12)</f>
        <v>0.0833333333333333</v>
      </c>
      <c r="D37" s="130">
        <f>TRUNC($D$31*C37,2)</f>
        <v>183.33</v>
      </c>
      <c r="F37" s="133"/>
      <c r="G37" s="133"/>
    </row>
    <row r="38" spans="1:7">
      <c r="A38" s="123" t="s">
        <v>45</v>
      </c>
      <c r="B38" t="s">
        <v>68</v>
      </c>
      <c r="C38" s="132">
        <f>(((1+1/3)/12))</f>
        <v>0.111111111111111</v>
      </c>
      <c r="D38" s="130">
        <f>TRUNC($D$31*C38,2)</f>
        <v>244.44</v>
      </c>
      <c r="F38" s="133"/>
      <c r="G38" s="133"/>
    </row>
    <row r="39" spans="1:7">
      <c r="A39" s="123" t="s">
        <v>58</v>
      </c>
      <c r="D39" s="130">
        <f>TRUNC((SUM(D37:D38)),2)</f>
        <v>427.77</v>
      </c>
      <c r="F39" s="133"/>
      <c r="G39" s="133"/>
    </row>
    <row r="40" ht="15.15" spans="4:7">
      <c r="D40" s="130"/>
      <c r="F40" s="133"/>
      <c r="G40" s="133"/>
    </row>
    <row r="41" ht="15.9" spans="1:7">
      <c r="A41" s="134" t="s">
        <v>201</v>
      </c>
      <c r="B41" s="134"/>
      <c r="C41" s="135" t="s">
        <v>202</v>
      </c>
      <c r="D41" s="136">
        <f>D31</f>
        <v>2200</v>
      </c>
      <c r="F41" s="133"/>
      <c r="G41" s="133"/>
    </row>
    <row r="42" ht="15.9" spans="1:7">
      <c r="A42" s="134"/>
      <c r="B42" s="134"/>
      <c r="C42" s="137" t="s">
        <v>203</v>
      </c>
      <c r="D42" s="136">
        <f>D39</f>
        <v>427.77</v>
      </c>
      <c r="F42" s="133"/>
      <c r="G42" s="133"/>
    </row>
    <row r="43" ht="15.9" spans="1:7">
      <c r="A43" s="134"/>
      <c r="B43" s="134"/>
      <c r="C43" s="135" t="s">
        <v>204</v>
      </c>
      <c r="D43" s="138">
        <f>TRUNC((SUM(D41:D42)),2)</f>
        <v>2627.77</v>
      </c>
      <c r="F43" s="133"/>
      <c r="G43" s="133"/>
    </row>
    <row r="44" ht="15.15" spans="1:7">
      <c r="A44" s="123"/>
      <c r="C44" s="139"/>
      <c r="D44" s="130"/>
      <c r="F44" s="133"/>
      <c r="G44" s="133"/>
    </row>
    <row r="45" spans="1:4">
      <c r="A45" s="122" t="s">
        <v>77</v>
      </c>
      <c r="B45" s="122"/>
      <c r="C45" s="122"/>
      <c r="D45" s="122"/>
    </row>
    <row r="46" spans="1:4">
      <c r="A46" s="123" t="s">
        <v>78</v>
      </c>
      <c r="B46" s="128" t="s">
        <v>79</v>
      </c>
      <c r="C46" s="123" t="s">
        <v>38</v>
      </c>
      <c r="D46" s="123" t="s">
        <v>80</v>
      </c>
    </row>
    <row r="47" spans="1:4">
      <c r="A47" s="123" t="s">
        <v>42</v>
      </c>
      <c r="B47" t="s">
        <v>81</v>
      </c>
      <c r="C47" s="132">
        <v>0.2</v>
      </c>
      <c r="D47" s="130">
        <f t="shared" ref="D47:D54" si="0">TRUNC(($D$43*C47),2)</f>
        <v>525.55</v>
      </c>
    </row>
    <row r="48" spans="1:4">
      <c r="A48" s="123" t="s">
        <v>45</v>
      </c>
      <c r="B48" t="s">
        <v>82</v>
      </c>
      <c r="C48" s="132">
        <v>0.025</v>
      </c>
      <c r="D48" s="130">
        <f t="shared" si="0"/>
        <v>65.69</v>
      </c>
    </row>
    <row r="49" spans="1:4">
      <c r="A49" s="123" t="s">
        <v>48</v>
      </c>
      <c r="B49" t="s">
        <v>205</v>
      </c>
      <c r="C49" s="140">
        <v>0.06</v>
      </c>
      <c r="D49" s="125">
        <f t="shared" si="0"/>
        <v>157.66</v>
      </c>
    </row>
    <row r="50" spans="1:4">
      <c r="A50" s="123" t="s">
        <v>50</v>
      </c>
      <c r="B50" t="s">
        <v>84</v>
      </c>
      <c r="C50" s="132">
        <v>0.015</v>
      </c>
      <c r="D50" s="130">
        <f t="shared" si="0"/>
        <v>39.41</v>
      </c>
    </row>
    <row r="51" spans="1:4">
      <c r="A51" s="123" t="s">
        <v>53</v>
      </c>
      <c r="B51" t="s">
        <v>85</v>
      </c>
      <c r="C51" s="132">
        <v>0.01</v>
      </c>
      <c r="D51" s="130">
        <f t="shared" si="0"/>
        <v>26.27</v>
      </c>
    </row>
    <row r="52" spans="1:4">
      <c r="A52" s="123" t="s">
        <v>55</v>
      </c>
      <c r="B52" t="s">
        <v>86</v>
      </c>
      <c r="C52" s="132">
        <v>0.006</v>
      </c>
      <c r="D52" s="130">
        <f t="shared" si="0"/>
        <v>15.76</v>
      </c>
    </row>
    <row r="53" spans="1:4">
      <c r="A53" s="123" t="s">
        <v>87</v>
      </c>
      <c r="B53" t="s">
        <v>88</v>
      </c>
      <c r="C53" s="132">
        <v>0.002</v>
      </c>
      <c r="D53" s="130">
        <f t="shared" si="0"/>
        <v>5.25</v>
      </c>
    </row>
    <row r="54" spans="1:4">
      <c r="A54" s="123" t="s">
        <v>89</v>
      </c>
      <c r="B54" t="s">
        <v>90</v>
      </c>
      <c r="C54" s="132">
        <v>0.08</v>
      </c>
      <c r="D54" s="130">
        <f t="shared" si="0"/>
        <v>210.22</v>
      </c>
    </row>
    <row r="55" spans="1:4">
      <c r="A55" s="123" t="s">
        <v>58</v>
      </c>
      <c r="C55" s="139">
        <f>SUM(C47:C54)</f>
        <v>0.398</v>
      </c>
      <c r="D55" s="130">
        <f>TRUNC((SUM(D47:D54)),2)</f>
        <v>1045.81</v>
      </c>
    </row>
    <row r="56" spans="1:4">
      <c r="A56" s="123"/>
      <c r="C56" s="139"/>
      <c r="D56" s="130"/>
    </row>
    <row r="57" spans="1:4">
      <c r="A57" s="122" t="s">
        <v>95</v>
      </c>
      <c r="B57" s="122"/>
      <c r="C57" s="122"/>
      <c r="D57" s="122"/>
    </row>
    <row r="58" spans="1:4">
      <c r="A58" s="123" t="s">
        <v>96</v>
      </c>
      <c r="B58" s="128" t="s">
        <v>97</v>
      </c>
      <c r="C58" s="123" t="s">
        <v>18</v>
      </c>
      <c r="D58" s="123" t="s">
        <v>19</v>
      </c>
    </row>
    <row r="59" spans="1:4">
      <c r="A59" s="123" t="s">
        <v>42</v>
      </c>
      <c r="B59" t="s">
        <v>98</v>
      </c>
      <c r="C59" s="124"/>
      <c r="D59" s="141">
        <f>TRUNC(((22*4.15)*2)-((D25/100)*6),2)</f>
        <v>50.6</v>
      </c>
    </row>
    <row r="60" spans="1:4">
      <c r="A60" s="123" t="s">
        <v>45</v>
      </c>
      <c r="B60" t="s">
        <v>99</v>
      </c>
      <c r="C60" s="124" t="str">
        <f>C9</f>
        <v>CCT PB000035/2019*</v>
      </c>
      <c r="D60" s="125">
        <v>600</v>
      </c>
    </row>
    <row r="61" spans="1:4">
      <c r="A61" s="123" t="s">
        <v>48</v>
      </c>
      <c r="B61" t="s">
        <v>100</v>
      </c>
      <c r="C61" s="124"/>
      <c r="D61" s="125">
        <v>0</v>
      </c>
    </row>
    <row r="62" spans="1:6">
      <c r="A62" s="142" t="s">
        <v>50</v>
      </c>
      <c r="B62" s="143" t="s">
        <v>206</v>
      </c>
      <c r="C62" s="144"/>
      <c r="D62" s="144">
        <v>0</v>
      </c>
      <c r="F62" s="143"/>
    </row>
    <row r="63" spans="1:4">
      <c r="A63" s="123" t="s">
        <v>53</v>
      </c>
      <c r="B63" s="128" t="s">
        <v>207</v>
      </c>
      <c r="C63" s="124"/>
      <c r="D63" s="125">
        <v>0</v>
      </c>
    </row>
    <row r="64" spans="1:4">
      <c r="A64" s="123" t="s">
        <v>55</v>
      </c>
      <c r="B64" s="145" t="s">
        <v>208</v>
      </c>
      <c r="C64" s="144"/>
      <c r="D64" s="125">
        <v>0</v>
      </c>
    </row>
    <row r="65" spans="1:4">
      <c r="A65" s="123" t="s">
        <v>58</v>
      </c>
      <c r="D65" s="130">
        <f>TRUNC((SUM(D59:D64)),2)</f>
        <v>650.6</v>
      </c>
    </row>
    <row r="66" spans="1:4">
      <c r="A66" s="123"/>
      <c r="D66" s="130"/>
    </row>
    <row r="67" spans="1:4">
      <c r="A67" s="122" t="s">
        <v>105</v>
      </c>
      <c r="B67" s="122"/>
      <c r="C67" s="122"/>
      <c r="D67" s="122"/>
    </row>
    <row r="68" spans="1:4">
      <c r="A68" s="123" t="s">
        <v>106</v>
      </c>
      <c r="B68" s="128" t="s">
        <v>107</v>
      </c>
      <c r="C68" s="123" t="s">
        <v>18</v>
      </c>
      <c r="D68" s="123" t="s">
        <v>19</v>
      </c>
    </row>
    <row r="69" spans="1:4">
      <c r="A69" s="123" t="s">
        <v>65</v>
      </c>
      <c r="B69" t="s">
        <v>66</v>
      </c>
      <c r="C69" s="123"/>
      <c r="D69" s="130">
        <f>D39</f>
        <v>427.77</v>
      </c>
    </row>
    <row r="70" spans="1:4">
      <c r="A70" s="123" t="s">
        <v>78</v>
      </c>
      <c r="B70" t="s">
        <v>79</v>
      </c>
      <c r="C70" s="123"/>
      <c r="D70" s="130">
        <f>D55</f>
        <v>1045.81</v>
      </c>
    </row>
    <row r="71" spans="1:4">
      <c r="A71" s="123" t="s">
        <v>96</v>
      </c>
      <c r="B71" t="s">
        <v>97</v>
      </c>
      <c r="C71" s="123"/>
      <c r="D71" s="130">
        <f>D65</f>
        <v>650.6</v>
      </c>
    </row>
    <row r="72" spans="1:4">
      <c r="A72" s="123" t="s">
        <v>58</v>
      </c>
      <c r="C72" s="123"/>
      <c r="D72" s="130">
        <f>TRUNC(SUM(D69:D71),2)</f>
        <v>2124.18</v>
      </c>
    </row>
    <row r="74" spans="1:4">
      <c r="A74" s="106" t="s">
        <v>108</v>
      </c>
      <c r="B74" s="106"/>
      <c r="C74" s="106"/>
      <c r="D74" s="106"/>
    </row>
    <row r="75" spans="1:4">
      <c r="A75" s="123" t="s">
        <v>109</v>
      </c>
      <c r="B75" s="128" t="s">
        <v>110</v>
      </c>
      <c r="C75" s="123" t="s">
        <v>38</v>
      </c>
      <c r="D75" s="123" t="s">
        <v>19</v>
      </c>
    </row>
    <row r="76" spans="1:4">
      <c r="A76" s="123" t="s">
        <v>42</v>
      </c>
      <c r="B76" t="s">
        <v>111</v>
      </c>
      <c r="C76" s="140">
        <f>((1/12)*5%)</f>
        <v>0.00416666666666667</v>
      </c>
      <c r="D76" s="125">
        <f t="shared" ref="D76:D79" si="1">TRUNC(($D$31*C76),2)</f>
        <v>9.16</v>
      </c>
    </row>
    <row r="77" spans="1:4">
      <c r="A77" s="123" t="s">
        <v>45</v>
      </c>
      <c r="B77" t="s">
        <v>112</v>
      </c>
      <c r="C77" s="146">
        <v>0.08</v>
      </c>
      <c r="D77" s="130">
        <f>TRUNC(($D$76*C77),2)</f>
        <v>0.73</v>
      </c>
    </row>
    <row r="78" spans="1:4">
      <c r="A78" s="123" t="s">
        <v>48</v>
      </c>
      <c r="B78" s="147" t="s">
        <v>113</v>
      </c>
      <c r="C78" s="148">
        <f>(0.08*0.4*0.05)</f>
        <v>0.0016</v>
      </c>
      <c r="D78" s="144">
        <f t="shared" si="1"/>
        <v>3.52</v>
      </c>
    </row>
    <row r="79" spans="1:4">
      <c r="A79" s="123" t="s">
        <v>50</v>
      </c>
      <c r="B79" t="s">
        <v>114</v>
      </c>
      <c r="C79" s="149">
        <f>(((7/30)/12)*0.95)</f>
        <v>0.0184722222222222</v>
      </c>
      <c r="D79" s="150">
        <f t="shared" si="1"/>
        <v>40.63</v>
      </c>
    </row>
    <row r="80" spans="1:4">
      <c r="A80" s="123" t="s">
        <v>53</v>
      </c>
      <c r="B80" s="147" t="s">
        <v>209</v>
      </c>
      <c r="C80" s="148">
        <f>C55</f>
        <v>0.398</v>
      </c>
      <c r="D80" s="144">
        <f>TRUNC(($D$79*C80),2)</f>
        <v>16.17</v>
      </c>
    </row>
    <row r="81" spans="1:4">
      <c r="A81" s="123" t="s">
        <v>55</v>
      </c>
      <c r="B81" s="147" t="s">
        <v>115</v>
      </c>
      <c r="C81" s="148">
        <f>(0.08*0.4*0.95)</f>
        <v>0.0304</v>
      </c>
      <c r="D81" s="144">
        <f>TRUNC(($D$31*C81),2)</f>
        <v>66.88</v>
      </c>
    </row>
    <row r="82" spans="1:4">
      <c r="A82" s="123" t="s">
        <v>58</v>
      </c>
      <c r="C82" s="146">
        <f>SUM(C76:C81)</f>
        <v>0.532638888888889</v>
      </c>
      <c r="D82" s="130">
        <f>TRUNC((SUM(D76:D81)),2)</f>
        <v>137.09</v>
      </c>
    </row>
    <row r="83" ht="15.15" spans="1:4">
      <c r="A83" s="123"/>
      <c r="D83" s="130"/>
    </row>
    <row r="84" ht="15.9" spans="1:4">
      <c r="A84" s="134" t="s">
        <v>210</v>
      </c>
      <c r="B84" s="134"/>
      <c r="C84" s="135" t="s">
        <v>202</v>
      </c>
      <c r="D84" s="136">
        <f>D31</f>
        <v>2200</v>
      </c>
    </row>
    <row r="85" ht="15.9" spans="1:4">
      <c r="A85" s="134"/>
      <c r="B85" s="134"/>
      <c r="C85" s="137" t="s">
        <v>211</v>
      </c>
      <c r="D85" s="136">
        <f>D72</f>
        <v>2124.18</v>
      </c>
    </row>
    <row r="86" ht="15.9" spans="1:4">
      <c r="A86" s="134"/>
      <c r="B86" s="134"/>
      <c r="C86" s="135" t="s">
        <v>212</v>
      </c>
      <c r="D86" s="136">
        <f>D82</f>
        <v>137.09</v>
      </c>
    </row>
    <row r="87" ht="15.9" spans="1:4">
      <c r="A87" s="134"/>
      <c r="B87" s="134"/>
      <c r="C87" s="137" t="s">
        <v>204</v>
      </c>
      <c r="D87" s="138">
        <f>TRUNC((SUM(D84:D86)),2)</f>
        <v>4461.27</v>
      </c>
    </row>
    <row r="88" ht="15.15" spans="1:4">
      <c r="A88" s="123"/>
      <c r="D88" s="130"/>
    </row>
    <row r="89" spans="1:4">
      <c r="A89" s="151" t="s">
        <v>127</v>
      </c>
      <c r="B89" s="151"/>
      <c r="C89" s="151"/>
      <c r="D89" s="151"/>
    </row>
    <row r="90" spans="1:4">
      <c r="A90" s="122" t="s">
        <v>128</v>
      </c>
      <c r="B90" s="122"/>
      <c r="C90" s="122"/>
      <c r="D90" s="122"/>
    </row>
    <row r="91" spans="1:4">
      <c r="A91" s="123" t="s">
        <v>129</v>
      </c>
      <c r="B91" s="128" t="s">
        <v>130</v>
      </c>
      <c r="C91" s="123" t="s">
        <v>38</v>
      </c>
      <c r="D91" s="123" t="s">
        <v>19</v>
      </c>
    </row>
    <row r="92" spans="1:4">
      <c r="A92" s="123" t="s">
        <v>42</v>
      </c>
      <c r="B92" t="s">
        <v>213</v>
      </c>
      <c r="C92" s="146">
        <f>(((1+1/3)/12)/12)+((1/12)/12)</f>
        <v>0.0162037037037037</v>
      </c>
      <c r="D92" s="130">
        <f t="shared" ref="D92:D96" si="2">TRUNC(($D$87*C92),2)</f>
        <v>72.28</v>
      </c>
    </row>
    <row r="93" spans="1:4">
      <c r="A93" s="123" t="s">
        <v>45</v>
      </c>
      <c r="B93" t="s">
        <v>133</v>
      </c>
      <c r="C93" s="140">
        <f>((2/30)/12)</f>
        <v>0.00555555555555556</v>
      </c>
      <c r="D93" s="144">
        <f t="shared" si="2"/>
        <v>24.78</v>
      </c>
    </row>
    <row r="94" spans="1:4">
      <c r="A94" s="123" t="s">
        <v>48</v>
      </c>
      <c r="B94" t="s">
        <v>134</v>
      </c>
      <c r="C94" s="140">
        <f>((5/30)/12)*0.02</f>
        <v>0.000277777777777778</v>
      </c>
      <c r="D94" s="144">
        <f t="shared" si="2"/>
        <v>1.23</v>
      </c>
    </row>
    <row r="95" spans="1:4">
      <c r="A95" s="142" t="s">
        <v>50</v>
      </c>
      <c r="B95" s="147" t="s">
        <v>135</v>
      </c>
      <c r="C95" s="148">
        <f>((15/30)/12)*0.08</f>
        <v>0.00333333333333333</v>
      </c>
      <c r="D95" s="144">
        <f t="shared" si="2"/>
        <v>14.87</v>
      </c>
    </row>
    <row r="96" spans="1:4">
      <c r="A96" s="123" t="s">
        <v>53</v>
      </c>
      <c r="B96" t="s">
        <v>136</v>
      </c>
      <c r="C96" s="140">
        <f>((1+1/3)/12)*0.03*((4/12))</f>
        <v>0.00111111111111111</v>
      </c>
      <c r="D96" s="144">
        <f t="shared" si="2"/>
        <v>4.95</v>
      </c>
    </row>
    <row r="97" spans="1:4">
      <c r="A97" s="123" t="s">
        <v>55</v>
      </c>
      <c r="B97" s="147" t="s">
        <v>214</v>
      </c>
      <c r="C97" s="152">
        <v>0</v>
      </c>
      <c r="D97" s="144">
        <f>TRUNC($D$87*C97)</f>
        <v>0</v>
      </c>
    </row>
    <row r="98" spans="1:4">
      <c r="A98" s="123" t="s">
        <v>58</v>
      </c>
      <c r="C98" s="146">
        <f>SUM(C92:C97)</f>
        <v>0.0264814814814815</v>
      </c>
      <c r="D98" s="130">
        <f>TRUNC((SUM(D92:D97)),2)</f>
        <v>118.11</v>
      </c>
    </row>
    <row r="99" spans="1:4">
      <c r="A99" s="123"/>
      <c r="C99" s="123"/>
      <c r="D99" s="130"/>
    </row>
    <row r="100" spans="1:4">
      <c r="A100" s="122" t="s">
        <v>144</v>
      </c>
      <c r="B100" s="122"/>
      <c r="C100" s="122"/>
      <c r="D100" s="122"/>
    </row>
    <row r="101" spans="1:4">
      <c r="A101" s="123" t="s">
        <v>145</v>
      </c>
      <c r="B101" s="128" t="s">
        <v>146</v>
      </c>
      <c r="C101" s="123" t="s">
        <v>18</v>
      </c>
      <c r="D101" s="123" t="s">
        <v>19</v>
      </c>
    </row>
    <row r="102" ht="72" spans="1:4">
      <c r="A102" s="142" t="s">
        <v>42</v>
      </c>
      <c r="B102" s="153" t="s">
        <v>147</v>
      </c>
      <c r="C102" s="154" t="s">
        <v>215</v>
      </c>
      <c r="D102" s="155" t="s">
        <v>216</v>
      </c>
    </row>
    <row r="103" spans="1:4">
      <c r="A103" s="123" t="s">
        <v>58</v>
      </c>
      <c r="C103" s="156"/>
      <c r="D103" s="157" t="str">
        <f>D102</f>
        <v>*=TRUNCAR(($D$86/220)*(1*(365/12))/2)</v>
      </c>
    </row>
    <row r="105" spans="1:4">
      <c r="A105" s="122" t="s">
        <v>148</v>
      </c>
      <c r="B105" s="122"/>
      <c r="C105" s="122"/>
      <c r="D105" s="122"/>
    </row>
    <row r="106" spans="1:4">
      <c r="A106" s="123" t="s">
        <v>149</v>
      </c>
      <c r="B106" s="128" t="s">
        <v>150</v>
      </c>
      <c r="C106" s="123" t="s">
        <v>18</v>
      </c>
      <c r="D106" s="123" t="s">
        <v>19</v>
      </c>
    </row>
    <row r="107" spans="1:4">
      <c r="A107" s="123" t="s">
        <v>129</v>
      </c>
      <c r="B107" t="s">
        <v>130</v>
      </c>
      <c r="D107" s="125">
        <f>D98</f>
        <v>118.11</v>
      </c>
    </row>
    <row r="108" spans="1:4">
      <c r="A108" s="123" t="s">
        <v>145</v>
      </c>
      <c r="B108" t="s">
        <v>151</v>
      </c>
      <c r="C108" s="128"/>
      <c r="D108" s="158" t="str">
        <f>Submódulo4.260_8120[[#Totals],[Valor]]</f>
        <v>*=TRUNCAR(($D$86/220)*(1*(365/12))/2)</v>
      </c>
    </row>
    <row r="109" ht="43.2" spans="1:4">
      <c r="A109" s="142" t="s">
        <v>58</v>
      </c>
      <c r="B109" s="143"/>
      <c r="C109" s="154" t="s">
        <v>217</v>
      </c>
      <c r="D109" s="159">
        <f>TRUNC((SUM(D107:D108)),2)</f>
        <v>118.11</v>
      </c>
    </row>
    <row r="111" spans="1:4">
      <c r="A111" s="106" t="s">
        <v>152</v>
      </c>
      <c r="B111" s="106"/>
      <c r="C111" s="106"/>
      <c r="D111" s="106"/>
    </row>
    <row r="112" spans="1:4">
      <c r="A112" s="123" t="s">
        <v>153</v>
      </c>
      <c r="B112" s="128" t="s">
        <v>154</v>
      </c>
      <c r="C112" s="123" t="s">
        <v>18</v>
      </c>
      <c r="D112" s="123" t="s">
        <v>19</v>
      </c>
    </row>
    <row r="113" spans="1:4">
      <c r="A113" s="123" t="s">
        <v>42</v>
      </c>
      <c r="B113" t="s">
        <v>218</v>
      </c>
      <c r="D113" s="160">
        <f>Uniformes!G11</f>
        <v>72.13</v>
      </c>
    </row>
    <row r="114" spans="1:4">
      <c r="A114" s="123" t="s">
        <v>45</v>
      </c>
      <c r="B114" t="s">
        <v>219</v>
      </c>
      <c r="D114" s="125">
        <v>0</v>
      </c>
    </row>
    <row r="115" spans="1:4">
      <c r="A115" s="123" t="s">
        <v>48</v>
      </c>
      <c r="B115" t="s">
        <v>156</v>
      </c>
      <c r="D115" s="125">
        <v>0</v>
      </c>
    </row>
    <row r="116" spans="1:4">
      <c r="A116" s="123" t="s">
        <v>50</v>
      </c>
      <c r="B116" t="s">
        <v>157</v>
      </c>
      <c r="D116" s="125">
        <v>0</v>
      </c>
    </row>
    <row r="117" spans="1:4">
      <c r="A117" s="123" t="s">
        <v>53</v>
      </c>
      <c r="B117" t="s">
        <v>220</v>
      </c>
      <c r="D117" s="125">
        <f>H116</f>
        <v>0</v>
      </c>
    </row>
    <row r="118" spans="1:4">
      <c r="A118" s="123" t="s">
        <v>58</v>
      </c>
      <c r="D118" s="130">
        <f>SUBTOTAL(109,Módulo562_8424[Valor])</f>
        <v>72.13</v>
      </c>
    </row>
    <row r="119" ht="15.15"/>
    <row r="120" ht="15.9" spans="1:4">
      <c r="A120" s="134" t="s">
        <v>221</v>
      </c>
      <c r="B120" s="134"/>
      <c r="C120" s="135" t="s">
        <v>202</v>
      </c>
      <c r="D120" s="136">
        <f>D31</f>
        <v>2200</v>
      </c>
    </row>
    <row r="121" ht="15.9" spans="1:4">
      <c r="A121" s="134"/>
      <c r="B121" s="134"/>
      <c r="C121" s="137" t="s">
        <v>211</v>
      </c>
      <c r="D121" s="136">
        <f>D72</f>
        <v>2124.18</v>
      </c>
    </row>
    <row r="122" ht="15.9" spans="1:4">
      <c r="A122" s="134"/>
      <c r="B122" s="134"/>
      <c r="C122" s="135" t="s">
        <v>212</v>
      </c>
      <c r="D122" s="136">
        <f>D82</f>
        <v>137.09</v>
      </c>
    </row>
    <row r="123" ht="15.9" spans="1:4">
      <c r="A123" s="134"/>
      <c r="B123" s="134"/>
      <c r="C123" s="137" t="s">
        <v>222</v>
      </c>
      <c r="D123" s="136">
        <f>D109</f>
        <v>118.11</v>
      </c>
    </row>
    <row r="124" ht="15.9" spans="1:4">
      <c r="A124" s="134"/>
      <c r="B124" s="134"/>
      <c r="C124" s="135" t="s">
        <v>223</v>
      </c>
      <c r="D124" s="136">
        <f>D118</f>
        <v>72.13</v>
      </c>
    </row>
    <row r="125" ht="15.9" spans="1:4">
      <c r="A125" s="134"/>
      <c r="B125" s="134"/>
      <c r="C125" s="137" t="s">
        <v>204</v>
      </c>
      <c r="D125" s="138">
        <f>TRUNC((SUM(D120:D124)),2)</f>
        <v>4651.51</v>
      </c>
    </row>
    <row r="126" ht="15.15"/>
    <row r="127" spans="1:4">
      <c r="A127" s="106" t="s">
        <v>164</v>
      </c>
      <c r="B127" s="106"/>
      <c r="C127" s="106"/>
      <c r="D127" s="106"/>
    </row>
    <row r="128" spans="1:7">
      <c r="A128" s="123" t="s">
        <v>165</v>
      </c>
      <c r="B128" t="s">
        <v>166</v>
      </c>
      <c r="C128" s="123" t="s">
        <v>38</v>
      </c>
      <c r="D128" s="123" t="s">
        <v>19</v>
      </c>
      <c r="F128" s="161" t="s">
        <v>224</v>
      </c>
      <c r="G128" s="161"/>
    </row>
    <row r="129" ht="15.15" spans="1:7">
      <c r="A129" s="123" t="s">
        <v>42</v>
      </c>
      <c r="B129" t="s">
        <v>167</v>
      </c>
      <c r="C129" s="162">
        <v>0.044</v>
      </c>
      <c r="D129" s="160">
        <f>TRUNC(($D$125*C129),2)</f>
        <v>204.66</v>
      </c>
      <c r="F129" s="163" t="s">
        <v>225</v>
      </c>
      <c r="G129" s="148">
        <f>C131</f>
        <v>0.0865</v>
      </c>
    </row>
    <row r="130" ht="15.15" spans="1:7">
      <c r="A130" s="123" t="s">
        <v>45</v>
      </c>
      <c r="B130" t="s">
        <v>59</v>
      </c>
      <c r="C130" s="162">
        <v>0.0413</v>
      </c>
      <c r="D130" s="160">
        <f>TRUNC((C130*(D125+D129)),2)</f>
        <v>200.55</v>
      </c>
      <c r="F130" s="164" t="s">
        <v>226</v>
      </c>
      <c r="G130" s="165">
        <f>TRUNC(SUM(D125,D129,D130),2)</f>
        <v>5056.72</v>
      </c>
    </row>
    <row r="131" spans="1:7">
      <c r="A131" s="123" t="s">
        <v>48</v>
      </c>
      <c r="B131" t="s">
        <v>168</v>
      </c>
      <c r="C131" s="140">
        <f>SUM(C132:C134)</f>
        <v>0.0865</v>
      </c>
      <c r="D131" s="125">
        <f>TRUNC((SUM(D132:D134)),2)</f>
        <v>478.81</v>
      </c>
      <c r="F131" s="163" t="s">
        <v>227</v>
      </c>
      <c r="G131" s="166">
        <f>(100-8.65)/100</f>
        <v>0.9135</v>
      </c>
    </row>
    <row r="132" ht="15.15" spans="1:7">
      <c r="A132" s="123"/>
      <c r="B132" t="s">
        <v>228</v>
      </c>
      <c r="C132" s="140">
        <v>0.0065</v>
      </c>
      <c r="D132" s="125">
        <f t="shared" ref="D132:D134" si="3">TRUNC(($G$132*C132),2)</f>
        <v>35.98</v>
      </c>
      <c r="F132" s="164" t="s">
        <v>224</v>
      </c>
      <c r="G132" s="165">
        <f>TRUNC((G130/G131),2)</f>
        <v>5535.54</v>
      </c>
    </row>
    <row r="133" ht="15.15" spans="1:4">
      <c r="A133" s="123"/>
      <c r="B133" t="s">
        <v>229</v>
      </c>
      <c r="C133" s="140">
        <v>0.03</v>
      </c>
      <c r="D133" s="125">
        <f t="shared" si="3"/>
        <v>166.06</v>
      </c>
    </row>
    <row r="134" spans="1:4">
      <c r="A134" s="123"/>
      <c r="B134" t="s">
        <v>230</v>
      </c>
      <c r="C134" s="140">
        <v>0.05</v>
      </c>
      <c r="D134" s="125">
        <f t="shared" si="3"/>
        <v>276.77</v>
      </c>
    </row>
    <row r="135" spans="1:4">
      <c r="A135" s="123" t="s">
        <v>58</v>
      </c>
      <c r="C135" s="167"/>
      <c r="D135" s="130">
        <f>TRUNC(SUM(D129:D131),2)</f>
        <v>884.02</v>
      </c>
    </row>
    <row r="136" spans="1:4">
      <c r="A136" s="123"/>
      <c r="C136" s="167"/>
      <c r="D136" s="130"/>
    </row>
    <row r="138" spans="1:4">
      <c r="A138" s="106" t="s">
        <v>172</v>
      </c>
      <c r="B138" s="106"/>
      <c r="C138" s="106"/>
      <c r="D138" s="106"/>
    </row>
    <row r="139" spans="1:4">
      <c r="A139" s="123" t="s">
        <v>16</v>
      </c>
      <c r="B139" s="123" t="s">
        <v>173</v>
      </c>
      <c r="C139" s="123" t="s">
        <v>102</v>
      </c>
      <c r="D139" s="123" t="s">
        <v>19</v>
      </c>
    </row>
    <row r="140" spans="1:4">
      <c r="A140" s="123" t="s">
        <v>42</v>
      </c>
      <c r="B140" t="s">
        <v>36</v>
      </c>
      <c r="D140" s="130">
        <f>D31</f>
        <v>2200</v>
      </c>
    </row>
    <row r="141" spans="1:4">
      <c r="A141" s="123" t="s">
        <v>45</v>
      </c>
      <c r="B141" t="s">
        <v>61</v>
      </c>
      <c r="D141" s="130">
        <f>D72</f>
        <v>2124.18</v>
      </c>
    </row>
    <row r="142" spans="1:4">
      <c r="A142" s="123" t="s">
        <v>48</v>
      </c>
      <c r="B142" t="s">
        <v>108</v>
      </c>
      <c r="D142" s="130">
        <f>D82</f>
        <v>137.09</v>
      </c>
    </row>
    <row r="143" spans="1:4">
      <c r="A143" s="123" t="s">
        <v>50</v>
      </c>
      <c r="B143" t="s">
        <v>174</v>
      </c>
      <c r="D143" s="130">
        <f>D109</f>
        <v>118.11</v>
      </c>
    </row>
    <row r="144" spans="1:4">
      <c r="A144" s="123" t="s">
        <v>53</v>
      </c>
      <c r="B144" t="s">
        <v>152</v>
      </c>
      <c r="D144" s="130">
        <f>D118</f>
        <v>72.13</v>
      </c>
    </row>
    <row r="145" spans="2:4">
      <c r="B145" s="168" t="s">
        <v>175</v>
      </c>
      <c r="D145" s="130">
        <f>TRUNC(SUM(D140:D144),2)</f>
        <v>4651.51</v>
      </c>
    </row>
    <row r="146" spans="1:4">
      <c r="A146" s="123" t="s">
        <v>55</v>
      </c>
      <c r="B146" t="s">
        <v>164</v>
      </c>
      <c r="D146" s="130">
        <f>D135</f>
        <v>884.02</v>
      </c>
    </row>
    <row r="147" spans="1:4">
      <c r="A147" s="169"/>
      <c r="B147" s="170" t="s">
        <v>231</v>
      </c>
      <c r="C147" s="169"/>
      <c r="D147" s="171">
        <f>TRUNC((SUM(D140:D144)+D146),2)</f>
        <v>5535.53</v>
      </c>
    </row>
    <row r="149" spans="1:1">
      <c r="A149" t="s">
        <v>244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5" sqref="B5"/>
    </sheetView>
  </sheetViews>
  <sheetFormatPr defaultColWidth="8.88888888888889" defaultRowHeight="14.4"/>
  <cols>
    <col min="2" max="2" width="36.3333333333333" customWidth="1"/>
    <col min="3" max="3" width="24.1111111111111" customWidth="1"/>
    <col min="4" max="4" width="13" customWidth="1"/>
    <col min="5" max="5" width="30.6666666666667" customWidth="1"/>
    <col min="9" max="9" width="22.5555555555556" customWidth="1"/>
    <col min="10" max="10" width="17.7777777777778" customWidth="1"/>
  </cols>
  <sheetData>
    <row r="1" ht="16.35" spans="2:10">
      <c r="B1" s="41" t="s">
        <v>245</v>
      </c>
      <c r="C1" s="42"/>
      <c r="D1" s="42"/>
      <c r="E1" s="43"/>
      <c r="F1" s="8"/>
      <c r="G1" s="8"/>
      <c r="H1" s="8"/>
      <c r="I1" s="8"/>
      <c r="J1" s="8"/>
    </row>
    <row r="2" ht="32.7" spans="2:10">
      <c r="B2" s="44" t="s">
        <v>246</v>
      </c>
      <c r="C2" s="45" t="s">
        <v>247</v>
      </c>
      <c r="D2" s="46" t="s">
        <v>248</v>
      </c>
      <c r="E2" s="47"/>
      <c r="F2" s="8"/>
      <c r="G2" s="8"/>
      <c r="H2" s="8"/>
      <c r="I2" s="8"/>
      <c r="J2" s="8"/>
    </row>
    <row r="3" ht="17.1" spans="2:10">
      <c r="B3" s="48" t="s">
        <v>249</v>
      </c>
      <c r="C3" s="49" t="s">
        <v>250</v>
      </c>
      <c r="D3" s="50" t="s">
        <v>251</v>
      </c>
      <c r="E3" s="51"/>
      <c r="F3" s="8"/>
      <c r="G3" s="8"/>
      <c r="H3" s="8"/>
      <c r="I3" s="8"/>
      <c r="J3" s="8"/>
    </row>
    <row r="4" ht="17.1" spans="2:10">
      <c r="B4" s="52">
        <f>RESUMO!D8</f>
        <v>84</v>
      </c>
      <c r="C4" s="53">
        <f>E19</f>
        <v>190.08</v>
      </c>
      <c r="D4" s="54">
        <f>TRUNC((B4*C4),2)</f>
        <v>15966.72</v>
      </c>
      <c r="E4" s="55"/>
      <c r="F4" s="8"/>
      <c r="G4" s="8"/>
      <c r="H4" s="56"/>
      <c r="I4" s="56"/>
      <c r="J4" s="56"/>
    </row>
    <row r="5" ht="17.1" spans="2:10">
      <c r="B5" s="57"/>
      <c r="C5" s="58"/>
      <c r="D5" s="58"/>
      <c r="E5" s="59"/>
      <c r="F5" s="8"/>
      <c r="G5" s="8"/>
      <c r="H5" s="56"/>
      <c r="I5" s="91" t="s">
        <v>224</v>
      </c>
      <c r="J5" s="92"/>
    </row>
    <row r="6" ht="17.1" spans="2:10">
      <c r="B6" s="57"/>
      <c r="C6" s="58"/>
      <c r="D6" s="58"/>
      <c r="E6" s="59"/>
      <c r="F6" s="8"/>
      <c r="G6" s="8"/>
      <c r="H6" s="56"/>
      <c r="I6" s="93" t="s">
        <v>225</v>
      </c>
      <c r="J6" s="94">
        <f>D18</f>
        <v>0.0865</v>
      </c>
    </row>
    <row r="7" ht="16.35" spans="2:10">
      <c r="B7" s="41" t="s">
        <v>252</v>
      </c>
      <c r="C7" s="42"/>
      <c r="D7" s="42"/>
      <c r="E7" s="43"/>
      <c r="F7" s="8"/>
      <c r="G7" s="8"/>
      <c r="H7" s="56"/>
      <c r="I7" s="95" t="s">
        <v>253</v>
      </c>
      <c r="J7" s="96">
        <f>E13</f>
        <v>173.64</v>
      </c>
    </row>
    <row r="8" ht="17.1" spans="2:10">
      <c r="B8" s="45" t="s">
        <v>254</v>
      </c>
      <c r="C8" s="45"/>
      <c r="D8" s="45"/>
      <c r="E8" s="60">
        <v>160</v>
      </c>
      <c r="F8" s="8"/>
      <c r="G8" s="8"/>
      <c r="H8" s="56"/>
      <c r="I8" s="93" t="s">
        <v>255</v>
      </c>
      <c r="J8" s="97">
        <f>(1-J6)</f>
        <v>0.9135</v>
      </c>
    </row>
    <row r="9" ht="16.35" spans="2:10">
      <c r="B9" s="61" t="s">
        <v>256</v>
      </c>
      <c r="C9" s="62"/>
      <c r="D9" s="63" t="s">
        <v>257</v>
      </c>
      <c r="E9" s="64" t="s">
        <v>258</v>
      </c>
      <c r="F9" s="8"/>
      <c r="G9" s="8"/>
      <c r="H9" s="56"/>
      <c r="I9" s="98"/>
      <c r="J9" s="98"/>
    </row>
    <row r="10" ht="15.6" spans="2:10">
      <c r="B10" s="65" t="s">
        <v>259</v>
      </c>
      <c r="C10" s="66"/>
      <c r="D10" s="67">
        <f>'Motorista Intermunicipal'!C129</f>
        <v>0.044</v>
      </c>
      <c r="E10" s="68">
        <f>TRUNC((E8*D10),2)</f>
        <v>7.04</v>
      </c>
      <c r="F10" s="8"/>
      <c r="G10" s="8"/>
      <c r="H10" s="56"/>
      <c r="I10" s="98"/>
      <c r="J10" s="98"/>
    </row>
    <row r="11" ht="16.35" spans="2:10">
      <c r="B11" s="69" t="s">
        <v>260</v>
      </c>
      <c r="C11" s="70"/>
      <c r="D11" s="67">
        <f>'Motorista Intermunicipal'!C130</f>
        <v>0.0413</v>
      </c>
      <c r="E11" s="68">
        <f>TRUNC((E8*D11),2)</f>
        <v>6.6</v>
      </c>
      <c r="F11" s="8"/>
      <c r="G11" s="8"/>
      <c r="H11" s="56"/>
      <c r="I11" s="56"/>
      <c r="J11" s="56"/>
    </row>
    <row r="12" ht="17.1" spans="2:10">
      <c r="B12" s="71" t="s">
        <v>261</v>
      </c>
      <c r="C12" s="46"/>
      <c r="D12" s="47"/>
      <c r="E12" s="72">
        <f>TRUNC((SUM(E10:E11)),2)</f>
        <v>13.64</v>
      </c>
      <c r="F12" s="8"/>
      <c r="G12" s="8"/>
      <c r="H12" s="56"/>
      <c r="I12" s="56"/>
      <c r="J12" s="56"/>
    </row>
    <row r="13" ht="17.1" spans="2:10">
      <c r="B13" s="73" t="s">
        <v>204</v>
      </c>
      <c r="C13" s="74"/>
      <c r="D13" s="75"/>
      <c r="E13" s="72">
        <f>TRUNC((E8+E12),2)</f>
        <v>173.64</v>
      </c>
      <c r="F13" s="8"/>
      <c r="G13" s="8"/>
      <c r="H13" s="56"/>
      <c r="I13" s="56"/>
      <c r="J13" s="56"/>
    </row>
    <row r="14" ht="16.35" spans="2:10">
      <c r="B14" s="76" t="s">
        <v>262</v>
      </c>
      <c r="C14" s="77"/>
      <c r="D14" s="78" t="s">
        <v>257</v>
      </c>
      <c r="E14" s="79" t="s">
        <v>263</v>
      </c>
      <c r="F14" s="8"/>
      <c r="G14" s="8"/>
      <c r="H14" s="8"/>
      <c r="I14" s="8"/>
      <c r="J14" s="8"/>
    </row>
    <row r="15" ht="15.6" spans="2:10">
      <c r="B15" s="65" t="s">
        <v>64</v>
      </c>
      <c r="C15" s="66"/>
      <c r="D15" s="67">
        <f>'Motorista Intermunicipal'!C132</f>
        <v>0.0065</v>
      </c>
      <c r="E15" s="68">
        <f>(J7/J8)*(D15)</f>
        <v>1.23553366174056</v>
      </c>
      <c r="F15" s="8"/>
      <c r="G15" s="8"/>
      <c r="H15" s="8"/>
      <c r="I15" s="8"/>
      <c r="J15" s="8"/>
    </row>
    <row r="16" ht="15.6" spans="2:10">
      <c r="B16" s="69" t="s">
        <v>62</v>
      </c>
      <c r="C16" s="70"/>
      <c r="D16" s="67">
        <f>'Motorista Intermunicipal'!C133</f>
        <v>0.03</v>
      </c>
      <c r="E16" s="68">
        <f>(J7/J8)*(D16)</f>
        <v>5.70246305418719</v>
      </c>
      <c r="F16" s="8"/>
      <c r="G16" s="8"/>
      <c r="H16" s="8"/>
      <c r="I16" s="8"/>
      <c r="J16" s="8"/>
    </row>
    <row r="17" ht="15.6" spans="2:10">
      <c r="B17" s="65" t="s">
        <v>60</v>
      </c>
      <c r="C17" s="66"/>
      <c r="D17" s="67">
        <f>'Motorista Intermunicipal'!C134</f>
        <v>0.05</v>
      </c>
      <c r="E17" s="80">
        <f>(E13/J8)*(D17)</f>
        <v>9.50410509031199</v>
      </c>
      <c r="F17" s="8"/>
      <c r="G17" s="8"/>
      <c r="H17" s="8"/>
      <c r="I17" s="8"/>
      <c r="J17" s="8"/>
    </row>
    <row r="18" ht="16.35" spans="2:10">
      <c r="B18" s="81" t="s">
        <v>225</v>
      </c>
      <c r="C18" s="82"/>
      <c r="D18" s="83">
        <f>SUM(D15:D17)</f>
        <v>0.0865</v>
      </c>
      <c r="E18" s="84">
        <f>SUM(E15:E17)</f>
        <v>16.4421018062397</v>
      </c>
      <c r="F18" s="8"/>
      <c r="G18" s="8"/>
      <c r="H18" s="8"/>
      <c r="I18" s="8"/>
      <c r="J18" s="8"/>
    </row>
    <row r="19" ht="17.1" spans="2:10">
      <c r="B19" s="85" t="s">
        <v>204</v>
      </c>
      <c r="C19" s="86"/>
      <c r="D19" s="87"/>
      <c r="E19" s="88">
        <f>TRUNC((E13+E18),2)</f>
        <v>190.08</v>
      </c>
      <c r="F19" s="8"/>
      <c r="G19" s="8"/>
      <c r="H19" s="8"/>
      <c r="I19" s="8"/>
      <c r="J19" s="8"/>
    </row>
    <row r="20" ht="15.15" spans="2:10">
      <c r="B20" s="89"/>
      <c r="C20" s="89"/>
      <c r="D20" s="89"/>
      <c r="E20" s="89"/>
      <c r="F20" s="8"/>
      <c r="G20" s="8"/>
      <c r="H20" s="8"/>
      <c r="I20" s="8"/>
      <c r="J20" s="8"/>
    </row>
    <row r="21" spans="2:10">
      <c r="B21" s="90" t="s">
        <v>264</v>
      </c>
      <c r="C21" s="90"/>
      <c r="D21" s="90"/>
      <c r="E21" s="90"/>
      <c r="F21" s="8"/>
      <c r="G21" s="8"/>
      <c r="H21" s="8"/>
      <c r="I21" s="8"/>
      <c r="J21" s="8"/>
    </row>
    <row r="22" spans="2:10">
      <c r="B22" s="90" t="s">
        <v>265</v>
      </c>
      <c r="C22" s="90"/>
      <c r="D22" s="90"/>
      <c r="E22" s="90"/>
      <c r="F22" s="8"/>
      <c r="G22" s="8"/>
      <c r="H22" s="8"/>
      <c r="I22" s="8"/>
      <c r="J22" s="8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zoomScale="90" zoomScaleNormal="90" workbookViewId="0">
      <selection activeCell="M48" sqref="M48"/>
    </sheetView>
  </sheetViews>
  <sheetFormatPr defaultColWidth="9.13888888888889" defaultRowHeight="14.4" outlineLevelCol="7"/>
  <cols>
    <col min="2" max="2" width="13.1574074074074" style="20" customWidth="1"/>
    <col min="3" max="3" width="39.3611111111111" customWidth="1"/>
    <col min="4" max="4" width="11.7314814814815" style="21" customWidth="1"/>
    <col min="5" max="5" width="9.71296296296296" customWidth="1"/>
    <col min="6" max="6" width="12.6944444444444" customWidth="1"/>
    <col min="7" max="7" width="12.287037037037" customWidth="1"/>
    <col min="8" max="8" width="13.3333333333333" customWidth="1"/>
  </cols>
  <sheetData>
    <row r="1" spans="1:8">
      <c r="A1" s="22" t="s">
        <v>266</v>
      </c>
      <c r="B1" s="23"/>
      <c r="C1" s="22"/>
      <c r="D1" s="24"/>
      <c r="E1" s="22"/>
      <c r="F1" s="22"/>
      <c r="G1" s="22"/>
      <c r="H1" s="22"/>
    </row>
    <row r="2" spans="1:8">
      <c r="A2" s="25" t="s">
        <v>267</v>
      </c>
      <c r="B2" s="26"/>
      <c r="C2" s="25"/>
      <c r="D2" s="27"/>
      <c r="E2" s="25"/>
      <c r="F2" s="25"/>
      <c r="G2" s="25"/>
      <c r="H2" s="25"/>
    </row>
    <row r="3" ht="57.6" spans="1:8">
      <c r="A3" s="28" t="s">
        <v>268</v>
      </c>
      <c r="B3" s="28" t="s">
        <v>269</v>
      </c>
      <c r="C3" s="28" t="s">
        <v>270</v>
      </c>
      <c r="D3" s="28" t="s">
        <v>271</v>
      </c>
      <c r="E3" s="28" t="s">
        <v>272</v>
      </c>
      <c r="F3" s="28" t="s">
        <v>273</v>
      </c>
      <c r="G3" s="28" t="s">
        <v>274</v>
      </c>
      <c r="H3" s="28" t="s">
        <v>275</v>
      </c>
    </row>
    <row r="4" ht="27.6" spans="1:8">
      <c r="A4" s="29">
        <v>1</v>
      </c>
      <c r="B4" s="30" t="s">
        <v>276</v>
      </c>
      <c r="C4" s="31" t="s">
        <v>277</v>
      </c>
      <c r="D4" s="30" t="s">
        <v>278</v>
      </c>
      <c r="E4" s="32">
        <v>62.9</v>
      </c>
      <c r="F4" s="30">
        <v>4</v>
      </c>
      <c r="G4" s="33">
        <f t="shared" ref="G4:G10" si="0">TRUNC(F4*E4,2)</f>
        <v>251.6</v>
      </c>
      <c r="H4" s="33">
        <f t="shared" ref="H4:H10" si="1">TRUNC(G4/12,2)</f>
        <v>20.96</v>
      </c>
    </row>
    <row r="5" ht="55.2" spans="1:8">
      <c r="A5" s="29">
        <v>2</v>
      </c>
      <c r="B5" s="30" t="s">
        <v>279</v>
      </c>
      <c r="C5" s="31" t="s">
        <v>280</v>
      </c>
      <c r="D5" s="30" t="s">
        <v>278</v>
      </c>
      <c r="E5" s="32">
        <v>66.98</v>
      </c>
      <c r="F5" s="30">
        <v>4</v>
      </c>
      <c r="G5" s="33">
        <f t="shared" si="0"/>
        <v>267.92</v>
      </c>
      <c r="H5" s="33">
        <f t="shared" si="1"/>
        <v>22.32</v>
      </c>
    </row>
    <row r="6" ht="55.2" spans="1:8">
      <c r="A6" s="29">
        <v>3</v>
      </c>
      <c r="B6" s="30" t="s">
        <v>279</v>
      </c>
      <c r="C6" s="31" t="s">
        <v>281</v>
      </c>
      <c r="D6" s="30" t="s">
        <v>278</v>
      </c>
      <c r="E6" s="32">
        <v>24.99</v>
      </c>
      <c r="F6" s="30">
        <v>4</v>
      </c>
      <c r="G6" s="33">
        <f t="shared" si="0"/>
        <v>99.96</v>
      </c>
      <c r="H6" s="33">
        <f t="shared" si="1"/>
        <v>8.33</v>
      </c>
    </row>
    <row r="7" ht="82.8" spans="1:8">
      <c r="A7" s="29">
        <v>4</v>
      </c>
      <c r="B7" s="34" t="s">
        <v>282</v>
      </c>
      <c r="C7" s="31" t="s">
        <v>283</v>
      </c>
      <c r="D7" s="30" t="s">
        <v>284</v>
      </c>
      <c r="E7" s="32">
        <v>23.36</v>
      </c>
      <c r="F7" s="30">
        <v>2</v>
      </c>
      <c r="G7" s="33">
        <f t="shared" si="0"/>
        <v>46.72</v>
      </c>
      <c r="H7" s="33">
        <f t="shared" si="1"/>
        <v>3.89</v>
      </c>
    </row>
    <row r="8" ht="27.6" spans="1:8">
      <c r="A8" s="29">
        <v>5</v>
      </c>
      <c r="B8" s="30" t="s">
        <v>285</v>
      </c>
      <c r="C8" s="31" t="s">
        <v>286</v>
      </c>
      <c r="D8" s="30" t="s">
        <v>284</v>
      </c>
      <c r="E8" s="32">
        <v>79.29</v>
      </c>
      <c r="F8" s="30">
        <v>2</v>
      </c>
      <c r="G8" s="33">
        <f t="shared" si="0"/>
        <v>158.58</v>
      </c>
      <c r="H8" s="33">
        <f t="shared" si="1"/>
        <v>13.21</v>
      </c>
    </row>
    <row r="9" ht="41.4" spans="1:8">
      <c r="A9" s="29">
        <v>6</v>
      </c>
      <c r="B9" s="30" t="s">
        <v>287</v>
      </c>
      <c r="C9" s="31" t="s">
        <v>288</v>
      </c>
      <c r="D9" s="30" t="s">
        <v>284</v>
      </c>
      <c r="E9" s="32">
        <v>8.82</v>
      </c>
      <c r="F9" s="30">
        <v>4</v>
      </c>
      <c r="G9" s="33">
        <f t="shared" si="0"/>
        <v>35.28</v>
      </c>
      <c r="H9" s="33">
        <f t="shared" si="1"/>
        <v>2.94</v>
      </c>
    </row>
    <row r="10" ht="41.4" spans="1:8">
      <c r="A10" s="29">
        <v>7</v>
      </c>
      <c r="B10" s="30" t="s">
        <v>289</v>
      </c>
      <c r="C10" s="31" t="s">
        <v>290</v>
      </c>
      <c r="D10" s="30" t="s">
        <v>278</v>
      </c>
      <c r="E10" s="32">
        <v>5.8</v>
      </c>
      <c r="F10" s="30">
        <v>1</v>
      </c>
      <c r="G10" s="33">
        <f t="shared" si="0"/>
        <v>5.8</v>
      </c>
      <c r="H10" s="33">
        <f t="shared" si="1"/>
        <v>0.48</v>
      </c>
    </row>
    <row r="11" spans="1:8">
      <c r="A11" s="35" t="s">
        <v>204</v>
      </c>
      <c r="B11" s="35"/>
      <c r="C11" s="35"/>
      <c r="D11" s="35"/>
      <c r="E11" s="35"/>
      <c r="F11" s="35"/>
      <c r="G11" s="36">
        <f>TRUNC(SUM(H4:H10),2)</f>
        <v>72.13</v>
      </c>
      <c r="H11" s="36"/>
    </row>
    <row r="14" spans="1:8">
      <c r="A14" s="22" t="s">
        <v>266</v>
      </c>
      <c r="B14" s="23"/>
      <c r="C14" s="22"/>
      <c r="D14" s="24"/>
      <c r="E14" s="22"/>
      <c r="F14" s="22"/>
      <c r="G14" s="22"/>
      <c r="H14" s="22"/>
    </row>
    <row r="15" spans="1:8">
      <c r="A15" s="25" t="s">
        <v>291</v>
      </c>
      <c r="B15" s="26"/>
      <c r="C15" s="25"/>
      <c r="D15" s="27"/>
      <c r="E15" s="25"/>
      <c r="F15" s="25"/>
      <c r="G15" s="25"/>
      <c r="H15" s="25"/>
    </row>
    <row r="16" ht="57.6" spans="1:8">
      <c r="A16" s="28" t="s">
        <v>268</v>
      </c>
      <c r="B16" s="28" t="s">
        <v>269</v>
      </c>
      <c r="C16" s="28" t="s">
        <v>270</v>
      </c>
      <c r="D16" s="28" t="s">
        <v>271</v>
      </c>
      <c r="E16" s="28" t="s">
        <v>272</v>
      </c>
      <c r="F16" s="28" t="s">
        <v>273</v>
      </c>
      <c r="G16" s="28" t="s">
        <v>274</v>
      </c>
      <c r="H16" s="28" t="s">
        <v>275</v>
      </c>
    </row>
    <row r="17" ht="27.6" spans="1:8">
      <c r="A17" s="29">
        <v>1</v>
      </c>
      <c r="B17" s="30" t="s">
        <v>276</v>
      </c>
      <c r="C17" s="31" t="s">
        <v>292</v>
      </c>
      <c r="D17" s="30" t="s">
        <v>278</v>
      </c>
      <c r="E17" s="32">
        <v>62.9</v>
      </c>
      <c r="F17" s="30">
        <v>4</v>
      </c>
      <c r="G17" s="33">
        <f t="shared" ref="G17:G23" si="2">TRUNC(F17*E17,2)</f>
        <v>251.6</v>
      </c>
      <c r="H17" s="33">
        <f t="shared" ref="H17:H23" si="3">TRUNC(G17/12,2)</f>
        <v>20.96</v>
      </c>
    </row>
    <row r="18" ht="41.4" spans="1:8">
      <c r="A18" s="29">
        <v>2</v>
      </c>
      <c r="B18" s="30" t="s">
        <v>293</v>
      </c>
      <c r="C18" s="31" t="s">
        <v>294</v>
      </c>
      <c r="D18" s="30" t="s">
        <v>278</v>
      </c>
      <c r="E18" s="32">
        <v>145</v>
      </c>
      <c r="F18" s="30">
        <v>2</v>
      </c>
      <c r="G18" s="33">
        <f t="shared" si="2"/>
        <v>290</v>
      </c>
      <c r="H18" s="33">
        <f t="shared" si="3"/>
        <v>24.16</v>
      </c>
    </row>
    <row r="19" ht="55.2" spans="1:8">
      <c r="A19" s="29">
        <v>3</v>
      </c>
      <c r="B19" s="30" t="s">
        <v>279</v>
      </c>
      <c r="C19" s="31" t="s">
        <v>280</v>
      </c>
      <c r="D19" s="30" t="s">
        <v>278</v>
      </c>
      <c r="E19" s="32">
        <v>66.98</v>
      </c>
      <c r="F19" s="30">
        <v>4</v>
      </c>
      <c r="G19" s="33">
        <f t="shared" si="2"/>
        <v>267.92</v>
      </c>
      <c r="H19" s="33">
        <f t="shared" si="3"/>
        <v>22.32</v>
      </c>
    </row>
    <row r="20" ht="55.2" spans="1:8">
      <c r="A20" s="29">
        <v>4</v>
      </c>
      <c r="B20" s="30" t="s">
        <v>279</v>
      </c>
      <c r="C20" s="31" t="s">
        <v>281</v>
      </c>
      <c r="D20" s="30" t="s">
        <v>278</v>
      </c>
      <c r="E20" s="32">
        <v>24.99</v>
      </c>
      <c r="F20" s="30">
        <v>4</v>
      </c>
      <c r="G20" s="33">
        <f t="shared" si="2"/>
        <v>99.96</v>
      </c>
      <c r="H20" s="33">
        <f t="shared" si="3"/>
        <v>8.33</v>
      </c>
    </row>
    <row r="21" ht="27.6" spans="1:8">
      <c r="A21" s="29">
        <v>5</v>
      </c>
      <c r="B21" s="30" t="s">
        <v>285</v>
      </c>
      <c r="C21" s="31" t="s">
        <v>286</v>
      </c>
      <c r="D21" s="30" t="s">
        <v>284</v>
      </c>
      <c r="E21" s="32">
        <v>79.29</v>
      </c>
      <c r="F21" s="30">
        <v>2</v>
      </c>
      <c r="G21" s="33">
        <f t="shared" si="2"/>
        <v>158.58</v>
      </c>
      <c r="H21" s="33">
        <f t="shared" si="3"/>
        <v>13.21</v>
      </c>
    </row>
    <row r="22" ht="41.4" spans="1:8">
      <c r="A22" s="29">
        <v>6</v>
      </c>
      <c r="B22" s="30" t="s">
        <v>287</v>
      </c>
      <c r="C22" s="31" t="s">
        <v>288</v>
      </c>
      <c r="D22" s="30" t="s">
        <v>284</v>
      </c>
      <c r="E22" s="32">
        <v>8.82</v>
      </c>
      <c r="F22" s="30">
        <v>4</v>
      </c>
      <c r="G22" s="33">
        <f t="shared" si="2"/>
        <v>35.28</v>
      </c>
      <c r="H22" s="33">
        <f t="shared" si="3"/>
        <v>2.94</v>
      </c>
    </row>
    <row r="23" ht="41.4" spans="1:8">
      <c r="A23" s="29">
        <v>7</v>
      </c>
      <c r="B23" s="30" t="s">
        <v>289</v>
      </c>
      <c r="C23" s="31" t="s">
        <v>290</v>
      </c>
      <c r="D23" s="30" t="s">
        <v>278</v>
      </c>
      <c r="E23" s="32">
        <v>5.8</v>
      </c>
      <c r="F23" s="30">
        <v>1</v>
      </c>
      <c r="G23" s="33">
        <f t="shared" si="2"/>
        <v>5.8</v>
      </c>
      <c r="H23" s="33">
        <f t="shared" si="3"/>
        <v>0.48</v>
      </c>
    </row>
    <row r="24" spans="1:8">
      <c r="A24" s="35" t="s">
        <v>204</v>
      </c>
      <c r="B24" s="35"/>
      <c r="C24" s="35"/>
      <c r="D24" s="35"/>
      <c r="E24" s="35"/>
      <c r="F24" s="35"/>
      <c r="G24" s="36">
        <f>TRUNC(SUM(H17:H23),2)</f>
        <v>92.4</v>
      </c>
      <c r="H24" s="36"/>
    </row>
    <row r="25" spans="1:8">
      <c r="A25" s="37"/>
      <c r="B25" s="38"/>
      <c r="C25" s="37"/>
      <c r="D25" s="39"/>
      <c r="E25" s="37"/>
      <c r="F25" s="37"/>
      <c r="G25" s="37"/>
      <c r="H25" s="37"/>
    </row>
    <row r="26" spans="1:8">
      <c r="A26" s="37"/>
      <c r="B26" s="38"/>
      <c r="C26" s="37"/>
      <c r="D26" s="39"/>
      <c r="E26" s="37"/>
      <c r="F26" s="37"/>
      <c r="G26" s="37"/>
      <c r="H26" s="37"/>
    </row>
    <row r="27" spans="1:8">
      <c r="A27" s="22" t="s">
        <v>266</v>
      </c>
      <c r="B27" s="23"/>
      <c r="C27" s="22"/>
      <c r="D27" s="24"/>
      <c r="E27" s="22"/>
      <c r="F27" s="22"/>
      <c r="G27" s="22"/>
      <c r="H27" s="22"/>
    </row>
    <row r="28" spans="1:8">
      <c r="A28" s="25" t="s">
        <v>295</v>
      </c>
      <c r="B28" s="26"/>
      <c r="C28" s="25"/>
      <c r="D28" s="27"/>
      <c r="E28" s="25"/>
      <c r="F28" s="25"/>
      <c r="G28" s="25"/>
      <c r="H28" s="25"/>
    </row>
    <row r="29" ht="57.6" spans="1:8">
      <c r="A29" s="28" t="s">
        <v>268</v>
      </c>
      <c r="B29" s="28" t="s">
        <v>269</v>
      </c>
      <c r="C29" s="28" t="s">
        <v>270</v>
      </c>
      <c r="D29" s="28" t="s">
        <v>271</v>
      </c>
      <c r="E29" s="28" t="s">
        <v>272</v>
      </c>
      <c r="F29" s="28" t="s">
        <v>273</v>
      </c>
      <c r="G29" s="28" t="s">
        <v>274</v>
      </c>
      <c r="H29" s="28" t="s">
        <v>275</v>
      </c>
    </row>
    <row r="30" ht="27.6" spans="1:8">
      <c r="A30" s="29">
        <v>1</v>
      </c>
      <c r="B30" s="30" t="s">
        <v>276</v>
      </c>
      <c r="C30" s="31" t="s">
        <v>292</v>
      </c>
      <c r="D30" s="30" t="s">
        <v>278</v>
      </c>
      <c r="E30" s="32">
        <v>62.9</v>
      </c>
      <c r="F30" s="30">
        <v>4</v>
      </c>
      <c r="G30" s="33">
        <f t="shared" ref="G30:G36" si="4">TRUNC(F30*E30,2)</f>
        <v>251.6</v>
      </c>
      <c r="H30" s="33">
        <f t="shared" ref="H30:H36" si="5">TRUNC(G30/12,2)</f>
        <v>20.96</v>
      </c>
    </row>
    <row r="31" ht="41.4" spans="1:8">
      <c r="A31" s="29">
        <v>2</v>
      </c>
      <c r="B31" s="30" t="s">
        <v>293</v>
      </c>
      <c r="C31" s="31" t="s">
        <v>294</v>
      </c>
      <c r="D31" s="30" t="s">
        <v>278</v>
      </c>
      <c r="E31" s="32">
        <v>145</v>
      </c>
      <c r="F31" s="30">
        <v>2</v>
      </c>
      <c r="G31" s="33">
        <f t="shared" si="4"/>
        <v>290</v>
      </c>
      <c r="H31" s="33">
        <f t="shared" si="5"/>
        <v>24.16</v>
      </c>
    </row>
    <row r="32" ht="55.2" spans="1:8">
      <c r="A32" s="29">
        <v>3</v>
      </c>
      <c r="B32" s="30" t="s">
        <v>279</v>
      </c>
      <c r="C32" s="31" t="s">
        <v>280</v>
      </c>
      <c r="D32" s="30" t="s">
        <v>278</v>
      </c>
      <c r="E32" s="32">
        <v>66.98</v>
      </c>
      <c r="F32" s="30">
        <v>4</v>
      </c>
      <c r="G32" s="33">
        <f t="shared" si="4"/>
        <v>267.92</v>
      </c>
      <c r="H32" s="33">
        <f t="shared" si="5"/>
        <v>22.32</v>
      </c>
    </row>
    <row r="33" ht="55.2" spans="1:8">
      <c r="A33" s="29">
        <v>4</v>
      </c>
      <c r="B33" s="30" t="s">
        <v>279</v>
      </c>
      <c r="C33" s="31" t="s">
        <v>281</v>
      </c>
      <c r="D33" s="30" t="s">
        <v>278</v>
      </c>
      <c r="E33" s="32">
        <v>24.99</v>
      </c>
      <c r="F33" s="30">
        <v>4</v>
      </c>
      <c r="G33" s="33">
        <f t="shared" si="4"/>
        <v>99.96</v>
      </c>
      <c r="H33" s="33">
        <f t="shared" si="5"/>
        <v>8.33</v>
      </c>
    </row>
    <row r="34" ht="27.6" spans="1:8">
      <c r="A34" s="29">
        <v>5</v>
      </c>
      <c r="B34" s="30" t="s">
        <v>285</v>
      </c>
      <c r="C34" s="31" t="s">
        <v>286</v>
      </c>
      <c r="D34" s="30" t="s">
        <v>284</v>
      </c>
      <c r="E34" s="32">
        <v>79.29</v>
      </c>
      <c r="F34" s="30">
        <v>2</v>
      </c>
      <c r="G34" s="33">
        <f t="shared" si="4"/>
        <v>158.58</v>
      </c>
      <c r="H34" s="33">
        <f t="shared" si="5"/>
        <v>13.21</v>
      </c>
    </row>
    <row r="35" ht="41.4" spans="1:8">
      <c r="A35" s="29">
        <v>6</v>
      </c>
      <c r="B35" s="30" t="s">
        <v>287</v>
      </c>
      <c r="C35" s="31" t="s">
        <v>288</v>
      </c>
      <c r="D35" s="30" t="s">
        <v>284</v>
      </c>
      <c r="E35" s="32">
        <v>8.82</v>
      </c>
      <c r="F35" s="30">
        <v>4</v>
      </c>
      <c r="G35" s="33">
        <f t="shared" si="4"/>
        <v>35.28</v>
      </c>
      <c r="H35" s="33">
        <f t="shared" si="5"/>
        <v>2.94</v>
      </c>
    </row>
    <row r="36" ht="41.4" spans="1:8">
      <c r="A36" s="29">
        <v>7</v>
      </c>
      <c r="B36" s="30" t="s">
        <v>289</v>
      </c>
      <c r="C36" s="31" t="s">
        <v>290</v>
      </c>
      <c r="D36" s="30" t="s">
        <v>278</v>
      </c>
      <c r="E36" s="32">
        <v>5.8</v>
      </c>
      <c r="F36" s="30">
        <v>1</v>
      </c>
      <c r="G36" s="33">
        <f t="shared" si="4"/>
        <v>5.8</v>
      </c>
      <c r="H36" s="33">
        <f t="shared" si="5"/>
        <v>0.48</v>
      </c>
    </row>
    <row r="37" spans="1:8">
      <c r="A37" s="35" t="s">
        <v>204</v>
      </c>
      <c r="B37" s="35"/>
      <c r="C37" s="35"/>
      <c r="D37" s="35"/>
      <c r="E37" s="35"/>
      <c r="F37" s="35"/>
      <c r="G37" s="36">
        <f>TRUNC(SUM(H30:H36),2)</f>
        <v>92.4</v>
      </c>
      <c r="H37" s="36"/>
    </row>
    <row r="40" spans="1:8">
      <c r="A40" s="22" t="s">
        <v>266</v>
      </c>
      <c r="B40" s="23"/>
      <c r="C40" s="22"/>
      <c r="D40" s="24"/>
      <c r="E40" s="22"/>
      <c r="F40" s="22"/>
      <c r="G40" s="22"/>
      <c r="H40" s="22"/>
    </row>
    <row r="41" spans="1:8">
      <c r="A41" s="25" t="s">
        <v>296</v>
      </c>
      <c r="B41" s="26"/>
      <c r="C41" s="25"/>
      <c r="D41" s="27"/>
      <c r="E41" s="25"/>
      <c r="F41" s="25"/>
      <c r="G41" s="25"/>
      <c r="H41" s="25"/>
    </row>
    <row r="42" ht="57.6" spans="1:8">
      <c r="A42" s="28" t="s">
        <v>268</v>
      </c>
      <c r="B42" s="28" t="s">
        <v>269</v>
      </c>
      <c r="C42" s="28" t="s">
        <v>270</v>
      </c>
      <c r="D42" s="28" t="s">
        <v>271</v>
      </c>
      <c r="E42" s="28" t="s">
        <v>272</v>
      </c>
      <c r="F42" s="28" t="s">
        <v>273</v>
      </c>
      <c r="G42" s="28" t="s">
        <v>274</v>
      </c>
      <c r="H42" s="28" t="s">
        <v>275</v>
      </c>
    </row>
    <row r="43" ht="27.6" spans="1:8">
      <c r="A43" s="29">
        <v>1</v>
      </c>
      <c r="B43" s="30" t="s">
        <v>276</v>
      </c>
      <c r="C43" s="31" t="s">
        <v>292</v>
      </c>
      <c r="D43" s="30" t="s">
        <v>278</v>
      </c>
      <c r="E43" s="32">
        <v>62.9</v>
      </c>
      <c r="F43" s="30">
        <v>4</v>
      </c>
      <c r="G43" s="33">
        <f t="shared" ref="G43:G49" si="6">TRUNC(F43*E43,2)</f>
        <v>251.6</v>
      </c>
      <c r="H43" s="33">
        <f t="shared" ref="H43:H49" si="7">TRUNC(G43/12,2)</f>
        <v>20.96</v>
      </c>
    </row>
    <row r="44" ht="55.2" spans="1:8">
      <c r="A44" s="29">
        <v>2</v>
      </c>
      <c r="B44" s="30" t="s">
        <v>279</v>
      </c>
      <c r="C44" s="31" t="s">
        <v>280</v>
      </c>
      <c r="D44" s="30" t="s">
        <v>278</v>
      </c>
      <c r="E44" s="32">
        <v>66.98</v>
      </c>
      <c r="F44" s="30">
        <v>4</v>
      </c>
      <c r="G44" s="33">
        <f t="shared" si="6"/>
        <v>267.92</v>
      </c>
      <c r="H44" s="33">
        <f t="shared" si="7"/>
        <v>22.32</v>
      </c>
    </row>
    <row r="45" ht="55.2" spans="1:8">
      <c r="A45" s="29">
        <v>3</v>
      </c>
      <c r="B45" s="30" t="s">
        <v>279</v>
      </c>
      <c r="C45" s="31" t="s">
        <v>281</v>
      </c>
      <c r="D45" s="30" t="s">
        <v>278</v>
      </c>
      <c r="E45" s="32">
        <v>24.99</v>
      </c>
      <c r="F45" s="30">
        <v>4</v>
      </c>
      <c r="G45" s="33">
        <f t="shared" si="6"/>
        <v>99.96</v>
      </c>
      <c r="H45" s="33">
        <f t="shared" si="7"/>
        <v>8.33</v>
      </c>
    </row>
    <row r="46" ht="27.6" spans="1:8">
      <c r="A46" s="29">
        <v>4</v>
      </c>
      <c r="B46" s="30" t="s">
        <v>285</v>
      </c>
      <c r="C46" s="31" t="s">
        <v>286</v>
      </c>
      <c r="D46" s="30" t="s">
        <v>284</v>
      </c>
      <c r="E46" s="32">
        <v>79.29</v>
      </c>
      <c r="F46" s="30">
        <v>2</v>
      </c>
      <c r="G46" s="33">
        <f t="shared" si="6"/>
        <v>158.58</v>
      </c>
      <c r="H46" s="33">
        <f t="shared" si="7"/>
        <v>13.21</v>
      </c>
    </row>
    <row r="47" ht="41.4" spans="1:8">
      <c r="A47" s="29">
        <v>5</v>
      </c>
      <c r="B47" s="30" t="s">
        <v>287</v>
      </c>
      <c r="C47" s="31" t="s">
        <v>288</v>
      </c>
      <c r="D47" s="30" t="s">
        <v>284</v>
      </c>
      <c r="E47" s="32">
        <v>8.82</v>
      </c>
      <c r="F47" s="30">
        <v>4</v>
      </c>
      <c r="G47" s="33">
        <f t="shared" si="6"/>
        <v>35.28</v>
      </c>
      <c r="H47" s="33">
        <f t="shared" si="7"/>
        <v>2.94</v>
      </c>
    </row>
    <row r="48" ht="28.8" spans="1:8">
      <c r="A48" s="29">
        <v>6</v>
      </c>
      <c r="B48" s="30" t="s">
        <v>297</v>
      </c>
      <c r="C48" s="40" t="s">
        <v>298</v>
      </c>
      <c r="D48" s="30" t="s">
        <v>278</v>
      </c>
      <c r="E48" s="32">
        <v>20.23</v>
      </c>
      <c r="F48" s="30">
        <v>2</v>
      </c>
      <c r="G48" s="33">
        <f t="shared" si="6"/>
        <v>40.46</v>
      </c>
      <c r="H48" s="33">
        <f t="shared" si="7"/>
        <v>3.37</v>
      </c>
    </row>
    <row r="49" ht="41.4" spans="1:8">
      <c r="A49" s="29">
        <v>7</v>
      </c>
      <c r="B49" s="30" t="s">
        <v>289</v>
      </c>
      <c r="C49" s="31" t="s">
        <v>290</v>
      </c>
      <c r="D49" s="30" t="s">
        <v>278</v>
      </c>
      <c r="E49" s="32">
        <v>5.8</v>
      </c>
      <c r="F49" s="30">
        <v>1</v>
      </c>
      <c r="G49" s="33">
        <f t="shared" si="6"/>
        <v>5.8</v>
      </c>
      <c r="H49" s="33">
        <f t="shared" si="7"/>
        <v>0.48</v>
      </c>
    </row>
    <row r="50" spans="1:8">
      <c r="A50" s="35" t="s">
        <v>204</v>
      </c>
      <c r="B50" s="35"/>
      <c r="C50" s="35"/>
      <c r="D50" s="35"/>
      <c r="E50" s="35"/>
      <c r="F50" s="35"/>
      <c r="G50" s="36">
        <f>TRUNC(SUM(H43:H49),2)</f>
        <v>71.61</v>
      </c>
      <c r="H50" s="36"/>
    </row>
  </sheetData>
  <mergeCells count="16">
    <mergeCell ref="A1:H1"/>
    <mergeCell ref="A2:H2"/>
    <mergeCell ref="A11:F11"/>
    <mergeCell ref="G11:H11"/>
    <mergeCell ref="A14:H14"/>
    <mergeCell ref="A15:H15"/>
    <mergeCell ref="A24:F24"/>
    <mergeCell ref="G24:H24"/>
    <mergeCell ref="A27:H27"/>
    <mergeCell ref="A28:H28"/>
    <mergeCell ref="A37:F37"/>
    <mergeCell ref="G37:H37"/>
    <mergeCell ref="A40:H40"/>
    <mergeCell ref="A41:H41"/>
    <mergeCell ref="A50:F50"/>
    <mergeCell ref="G50:H50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Auxiliar Administrativo</vt:lpstr>
      <vt:lpstr>Copeiro (a)</vt:lpstr>
      <vt:lpstr>Portaria - Cabedelo</vt:lpstr>
      <vt:lpstr>Portaria - Lucena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2021-07-26T16:52:44Z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